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firstSheet="1" activeTab="1"/>
  </bookViews>
  <sheets>
    <sheet name="Macro-disabled" sheetId="2" state="hidden" r:id="rId1"/>
    <sheet name="TDS CALCULATIONS " sheetId="3" r:id="rId2"/>
    <sheet name="tax-calculator" sheetId="1" state="hidden" r:id="rId3"/>
    <sheet name="how to use " sheetId="4" r:id="rId4"/>
  </sheets>
  <definedNames>
    <definedName name="_xlnm._FilterDatabase" localSheetId="1" hidden="1">'TDS CALCULATIONS '!$B$1:$H$50</definedName>
    <definedName name="category">'tax-calculator'!$G$3:$G$5</definedName>
    <definedName name="_xlnm.Print_Area" localSheetId="1">'TDS CALCULATIONS '!$A:$G</definedName>
  </definedNames>
  <calcPr calcId="124519"/>
</workbook>
</file>

<file path=xl/calcChain.xml><?xml version="1.0" encoding="utf-8"?>
<calcChain xmlns="http://schemas.openxmlformats.org/spreadsheetml/2006/main">
  <c r="S16" i="3"/>
  <c r="S17" s="1"/>
  <c r="N28"/>
  <c r="C5"/>
  <c r="S8" s="1"/>
  <c r="D5"/>
  <c r="K5"/>
  <c r="B7" s="1"/>
  <c r="C6" s="1"/>
  <c r="H5"/>
  <c r="D6" l="1"/>
  <c r="F6" s="1"/>
  <c r="G6" s="1"/>
  <c r="S18"/>
  <c r="S9"/>
  <c r="G9" s="1"/>
  <c r="E5"/>
  <c r="G5" s="1"/>
  <c r="B11" i="1"/>
  <c r="B12"/>
  <c r="B13"/>
  <c r="N13"/>
  <c r="B14"/>
  <c r="B15"/>
  <c r="B16"/>
  <c r="B17"/>
  <c r="B18" s="1"/>
  <c r="B19" s="1"/>
  <c r="B20" s="1"/>
  <c r="B21" s="1"/>
  <c r="B22" s="1"/>
  <c r="B23" s="1"/>
  <c r="B24" s="1"/>
  <c r="B25" s="1"/>
  <c r="B26" s="1"/>
  <c r="L21"/>
  <c r="Q21"/>
  <c r="L22"/>
  <c r="Q22"/>
  <c r="L23"/>
  <c r="Q23"/>
  <c r="Q24"/>
  <c r="Q25"/>
  <c r="Q26"/>
  <c r="L31"/>
  <c r="L32"/>
  <c r="L33"/>
  <c r="L39"/>
  <c r="L40"/>
  <c r="G25" i="3" l="1"/>
  <c r="G11"/>
  <c r="E6" i="1" s="1"/>
  <c r="E27" s="1"/>
  <c r="J7" s="1"/>
  <c r="L11" s="1"/>
  <c r="Q10" s="1"/>
  <c r="G13" i="3" l="1"/>
  <c r="G26" s="1"/>
  <c r="G27" s="1"/>
  <c r="J11" i="1"/>
  <c r="Q8" s="1"/>
  <c r="R8" s="1"/>
  <c r="K11"/>
  <c r="Q9" s="1"/>
  <c r="R9" s="1"/>
  <c r="J8"/>
  <c r="J12" s="1"/>
  <c r="T8" s="1"/>
  <c r="U8" s="1"/>
  <c r="V8" s="1"/>
  <c r="R10"/>
  <c r="S10" s="1"/>
  <c r="G28" i="3" l="1"/>
  <c r="G29" s="1"/>
  <c r="S9" i="1"/>
  <c r="L12"/>
  <c r="I1" s="1"/>
  <c r="K12"/>
  <c r="T9" s="1"/>
  <c r="U9" s="1"/>
  <c r="S8"/>
  <c r="Q13" s="1"/>
  <c r="E29" s="1"/>
  <c r="T10" l="1"/>
  <c r="V9"/>
  <c r="R13" s="1"/>
  <c r="E30" s="1"/>
  <c r="U10"/>
  <c r="G30" i="3" l="1"/>
  <c r="G31" s="1"/>
  <c r="G36" s="1"/>
  <c r="V10" i="1"/>
  <c r="N29" i="3" l="1"/>
  <c r="F45" s="1"/>
  <c r="A45"/>
  <c r="G33"/>
  <c r="G35" s="1"/>
  <c r="D43"/>
  <c r="D44" s="1"/>
  <c r="E43"/>
  <c r="E44" s="1"/>
  <c r="F43"/>
  <c r="F44" s="1"/>
  <c r="G43"/>
  <c r="G44" s="1"/>
</calcChain>
</file>

<file path=xl/comments1.xml><?xml version="1.0" encoding="utf-8"?>
<comments xmlns="http://schemas.openxmlformats.org/spreadsheetml/2006/main">
  <authors>
    <author>user</author>
  </authors>
  <commentList>
    <comment ref="B5" authorId="0">
      <text>
        <r>
          <rPr>
            <b/>
            <sz val="9"/>
            <color indexed="81"/>
            <rFont val="Tahoma"/>
            <family val="2"/>
          </rPr>
          <t>user:</t>
        </r>
        <r>
          <rPr>
            <sz val="9"/>
            <color indexed="81"/>
            <rFont val="Tahoma"/>
            <family val="2"/>
          </rPr>
          <t xml:space="preserve">
ENTER BASIC SALARY OF MARCH 2020</t>
        </r>
      </text>
    </comment>
  </commentList>
</comments>
</file>

<file path=xl/sharedStrings.xml><?xml version="1.0" encoding="utf-8"?>
<sst xmlns="http://schemas.openxmlformats.org/spreadsheetml/2006/main" count="131" uniqueCount="107">
  <si>
    <t>New Simplified Personal Income Tax Regime u/s 115BAC - Kya Khoya Kya Paya?</t>
  </si>
  <si>
    <t>Senior Citizen (60 Yrs or more)</t>
  </si>
  <si>
    <t>Senior Citizen (80 Yrs or more)</t>
  </si>
  <si>
    <t>Other</t>
  </si>
  <si>
    <t>A</t>
  </si>
  <si>
    <t>Enter your Gross Income without any deduction/exemption</t>
  </si>
  <si>
    <t>B</t>
  </si>
  <si>
    <t>Less: Select Allowances/Exemptions/Deductions/Set Off you are normally entitled to</t>
  </si>
  <si>
    <t>Fill estimated amount hereunder</t>
  </si>
  <si>
    <t>Txable Income old</t>
  </si>
  <si>
    <t>Old Scheme</t>
  </si>
  <si>
    <t>Rebate</t>
  </si>
  <si>
    <t>Net Tax</t>
  </si>
  <si>
    <t>New Scheme</t>
  </si>
  <si>
    <t>Taxable income new</t>
  </si>
  <si>
    <t>Senior Citizen</t>
  </si>
  <si>
    <t>Super Senior</t>
  </si>
  <si>
    <t>Others</t>
  </si>
  <si>
    <t>Tax as per old scheme</t>
  </si>
  <si>
    <t>Tax as per new scheme</t>
  </si>
  <si>
    <t>Final Tax based on category Selection</t>
  </si>
  <si>
    <t>Income tax slab old</t>
  </si>
  <si>
    <t>Income tax slab new</t>
  </si>
  <si>
    <t>From</t>
  </si>
  <si>
    <t>To</t>
  </si>
  <si>
    <t>Income Tax Rate</t>
  </si>
  <si>
    <t>Differential Rate</t>
  </si>
  <si>
    <t>above 1000000/-</t>
  </si>
  <si>
    <t>Income Tax Slab for Senior Citizens AY 2016-17 and AY 2015-16</t>
  </si>
  <si>
    <t>1500001 and above</t>
  </si>
  <si>
    <t>C</t>
  </si>
  <si>
    <t>Total Income (A-B)</t>
  </si>
  <si>
    <t>Tax under Old Regime (after Section 87A rebate)</t>
  </si>
  <si>
    <t>Tax under New Optinal Regime (after Section 87A rebate)</t>
  </si>
  <si>
    <t># only following allowances are exempt to the Individual or HUF exercising Option of New Simplified Personal Income Tax Regime:
(a) Transport Allowance granted to a divyang employee to meet expenditure for the purpose of commuting between place of residence and place of duty
(b) Conveyance Allowance granted to meet the expenditure on conveyance in performance of duties of an office;
(c) Any Allowance granted to meet the cost of travel on tour or on transfer;
(d) Daily Allowance to meet the ordinary daily charges incurred by employee for absence from his normal place of duty</t>
  </si>
  <si>
    <t>Macros must be enabled to use this utility</t>
  </si>
  <si>
    <t>Download help file on how to enable macros</t>
  </si>
  <si>
    <t>http://abcaus.in/macros.pdf</t>
  </si>
  <si>
    <t>MAHARANA PRATAP GOVT P.G COLLEGE CHITTORGARH</t>
  </si>
  <si>
    <t>NAME :-</t>
  </si>
  <si>
    <t>POST</t>
  </si>
  <si>
    <t xml:space="preserve">GROSS SALARY </t>
  </si>
  <si>
    <t>-</t>
  </si>
  <si>
    <t>STANDARD DEDUCTION</t>
  </si>
  <si>
    <t>DEDUCTIONS:-</t>
  </si>
  <si>
    <t>80 C ,CCC ,CCD1       ( MAX 150000)</t>
  </si>
  <si>
    <t>80 CCD(1B)               MAX 50000</t>
  </si>
  <si>
    <t>HOUSE RENT  ALLOWANCE</t>
  </si>
  <si>
    <t>HOUSE LOAN INTEREST   (MAX 200000)</t>
  </si>
  <si>
    <t>MEDICLAIM ( MAX 25000 )</t>
  </si>
  <si>
    <t xml:space="preserve">EDUCATION LOAN </t>
  </si>
  <si>
    <t>TOTAL DEDUCTIONS</t>
  </si>
  <si>
    <t xml:space="preserve">NET TAXABLE INCOME </t>
  </si>
  <si>
    <t>TAX</t>
  </si>
  <si>
    <t>CESS@4%</t>
  </si>
  <si>
    <t xml:space="preserve">TDS DEDUCTED TILL  NOW </t>
  </si>
  <si>
    <t xml:space="preserve">TAX PAYABLE  THROUGH TDS </t>
  </si>
  <si>
    <t xml:space="preserve">NO OF INSTALMENTS /MONTH REMAINING </t>
  </si>
  <si>
    <t xml:space="preserve">IF YOU FACE ANY PROBLEM  IN THIS SHEET PLEASE MAIL ME ON PANKAJJAIN5246@GMAIL.COM               </t>
  </si>
  <si>
    <t>NET TAX PAYABLE AS PER OLD REGIME</t>
  </si>
  <si>
    <t xml:space="preserve">BENIFICIAL REGIME AMOUNT </t>
  </si>
  <si>
    <t xml:space="preserve">SIGNATURE OF EMPLOYEE </t>
  </si>
  <si>
    <t xml:space="preserve">TAX AND CESS AS PER NEW REGIME </t>
  </si>
  <si>
    <t xml:space="preserve">ANY OTHER DEDUCTION                                                   </t>
  </si>
  <si>
    <t xml:space="preserve">TDS FROM NOW  </t>
  </si>
  <si>
    <r>
      <t>SURRENDER</t>
    </r>
    <r>
      <rPr>
        <b/>
        <sz val="11"/>
        <color rgb="FFFF0000"/>
        <rFont val="Calibri"/>
        <family val="2"/>
        <scheme val="minor"/>
      </rPr>
      <t xml:space="preserve"> #</t>
    </r>
  </si>
  <si>
    <t xml:space="preserve">ASSISTANT PROFESSOR </t>
  </si>
  <si>
    <t>PANKAJ KUMAR BHALAWAT</t>
  </si>
  <si>
    <t xml:space="preserve"> NOV 2020</t>
  </si>
  <si>
    <t xml:space="preserve">Short deduction </t>
  </si>
  <si>
    <t>BEFORE</t>
  </si>
  <si>
    <t>AFTER</t>
  </si>
  <si>
    <t xml:space="preserve">HOW TO USE </t>
  </si>
  <si>
    <t xml:space="preserve">INCOME FROM OTHER SOURCES + OTHER ALLOWANCE </t>
  </si>
  <si>
    <t xml:space="preserve">QUARTER WISE        REQUIRED TDS </t>
  </si>
  <si>
    <t xml:space="preserve">FILL BASIC INFORMATION IN COLUMN NO.. 1 AND 3 </t>
  </si>
  <si>
    <t xml:space="preserve">80G  ( Donations) Any other  </t>
  </si>
  <si>
    <t>ONE</t>
  </si>
  <si>
    <t>THREE</t>
  </si>
  <si>
    <t xml:space="preserve">FIVE </t>
  </si>
  <si>
    <t xml:space="preserve"> EXPECTED TOTAL  TAX PAYABLE THROUGH TDS (FOR WHOLE YEAR)</t>
  </si>
  <si>
    <t>BASIC AS ON 01.03.2021</t>
  </si>
  <si>
    <t>BASIC AS ON 01-07-2021</t>
  </si>
  <si>
    <t>D.A PER MONTH</t>
  </si>
  <si>
    <t>HRA PER MONTH</t>
  </si>
  <si>
    <t>** HRA has been taken @9% from july Onwards (If Implimented by Competent Authority)</t>
  </si>
  <si>
    <t>March 21 To June 21</t>
  </si>
  <si>
    <t>July 21 To Feb 22</t>
  </si>
  <si>
    <r>
      <rPr>
        <b/>
        <sz val="11"/>
        <color rgb="FFFF0000"/>
        <rFont val="Calibri"/>
        <family val="2"/>
      </rPr>
      <t xml:space="preserve">Quarterly </t>
    </r>
    <r>
      <rPr>
        <b/>
        <sz val="12"/>
        <color rgb="FFFF0000"/>
        <rFont val="Calibri"/>
        <family val="2"/>
      </rPr>
      <t xml:space="preserve">TDS Require-ment And Short </t>
    </r>
    <r>
      <rPr>
        <b/>
        <sz val="11"/>
        <color rgb="FFFF0000"/>
        <rFont val="Calibri"/>
        <family val="2"/>
      </rPr>
      <t xml:space="preserve">Deduction </t>
    </r>
  </si>
  <si>
    <r>
      <t xml:space="preserve">** *NOTE :-  The above TDS calculator has been prepared with atmost due care and precautions. Still the user is fully responsible for the out come .                                                                                                                 </t>
    </r>
    <r>
      <rPr>
        <sz val="10"/>
        <color theme="3" tint="0.39997558519241921"/>
        <rFont val="Calibri"/>
        <family val="2"/>
        <scheme val="minor"/>
      </rPr>
      <t xml:space="preserve">           </t>
    </r>
  </si>
  <si>
    <r>
      <t>80TTA</t>
    </r>
    <r>
      <rPr>
        <b/>
        <sz val="10"/>
        <color theme="1"/>
        <rFont val="Calibri"/>
        <family val="2"/>
        <scheme val="minor"/>
      </rPr>
      <t xml:space="preserve"> (INTEREST ON SAVING BANK ACCOUNT ) MAX 10000</t>
    </r>
  </si>
  <si>
    <r>
      <t xml:space="preserve">COMPUTATION OF </t>
    </r>
    <r>
      <rPr>
        <b/>
        <i/>
        <u/>
        <sz val="13"/>
        <color rgb="FFFF0000"/>
        <rFont val="Calibri"/>
        <family val="2"/>
        <scheme val="minor"/>
      </rPr>
      <t>ESTIMATED</t>
    </r>
    <r>
      <rPr>
        <b/>
        <sz val="13"/>
        <color theme="1"/>
        <rFont val="Calibri"/>
        <family val="2"/>
        <scheme val="minor"/>
      </rPr>
      <t xml:space="preserve"> INCOME TAX PAYABLE FOR F.Y 2021-22</t>
    </r>
  </si>
  <si>
    <t>MAR TO JUNE Gross SALARY (B5+C5+D5)*4</t>
  </si>
  <si>
    <t xml:space="preserve">NOT APPLICABLE </t>
  </si>
  <si>
    <t xml:space="preserve">QUARTER WISE TDS </t>
  </si>
  <si>
    <t>*The  D. A for first four month has been taken @17% and 31% for rest 8 months( Assumed 3% D.A increase From July  by state govt.)</t>
  </si>
  <si>
    <t>PANKAJ KUMAR BHALAWAT, ASSISTANT PROFESSOR,EAFM, MPPG GOVT. COLLEGE ,CHITTORGARH</t>
  </si>
  <si>
    <t>JULY TO FEB Gross SALARY (B7+C6+D6)*8</t>
  </si>
  <si>
    <t>WRITE YOUR MARCH MONTH BASIC IN COLUMN NO.. B5</t>
  </si>
  <si>
    <t>WRITE YOUR INCOME FROM OTHER SOURCES  IN COLUMN NO.. G8</t>
  </si>
  <si>
    <t>WRITE YOUR DEDUCTIONS IN COLUMN NO.  F15 TO F24</t>
  </si>
  <si>
    <t>WRITE YOUR TDS DEDUCTED TILL NO. IN COLUMN NO.  G32</t>
  </si>
  <si>
    <t>WRITE REMAINING MONTHS (NO. OF INSTALMENTS) IN F34</t>
  </si>
  <si>
    <t>WRITE YOUR TDS DEDUCTED MONTHWISE IN COLUMN NO. B39 TO G39 AND B 41TO G41</t>
  </si>
  <si>
    <t xml:space="preserve">REMAINING CALCULATIONS WILL BE DONE AUTOMATICALLY </t>
  </si>
  <si>
    <t>GROSS TOTAL INCOME FOR THE YEAR</t>
  </si>
  <si>
    <t>GROSS TOTAL INCOME AFTER STANDARD DEDUCTION</t>
  </si>
</sst>
</file>

<file path=xl/styles.xml><?xml version="1.0" encoding="utf-8"?>
<styleSheet xmlns="http://schemas.openxmlformats.org/spreadsheetml/2006/main">
  <numFmts count="3">
    <numFmt numFmtId="164" formatCode="_(* #,##0.00_);_(* \(#,##0.00\);_(* \-??_);_(@_)"/>
    <numFmt numFmtId="165" formatCode="_-* #,##0_-;\-* #,##0_-;_-* \-??_-;_-@_-"/>
    <numFmt numFmtId="166" formatCode="_(* #,##0_);_(* \(#,##0\);_(* \-??_);_(@_)"/>
  </numFmts>
  <fonts count="46">
    <font>
      <sz val="11"/>
      <color indexed="8"/>
      <name val="Calibri"/>
      <family val="2"/>
      <charset val="1"/>
    </font>
    <font>
      <b/>
      <sz val="13"/>
      <color indexed="8"/>
      <name val="Arial"/>
      <family val="2"/>
      <charset val="1"/>
    </font>
    <font>
      <sz val="12"/>
      <color indexed="8"/>
      <name val="Arial"/>
      <family val="2"/>
      <charset val="1"/>
    </font>
    <font>
      <b/>
      <sz val="12"/>
      <color indexed="8"/>
      <name val="Arial"/>
      <family val="2"/>
      <charset val="1"/>
    </font>
    <font>
      <sz val="13"/>
      <color indexed="8"/>
      <name val="Arial"/>
      <family val="2"/>
      <charset val="1"/>
    </font>
    <font>
      <b/>
      <sz val="11"/>
      <color indexed="8"/>
      <name val="Calibri"/>
      <family val="2"/>
      <charset val="1"/>
    </font>
    <font>
      <b/>
      <sz val="12"/>
      <name val="Arial"/>
      <family val="2"/>
      <charset val="1"/>
    </font>
    <font>
      <b/>
      <sz val="12"/>
      <color indexed="8"/>
      <name val="Arial"/>
      <family val="2"/>
    </font>
    <font>
      <sz val="25"/>
      <color indexed="10"/>
      <name val="Times New Roman"/>
      <family val="1"/>
      <charset val="1"/>
    </font>
    <font>
      <sz val="12"/>
      <color indexed="8"/>
      <name val="Times New Roman"/>
      <family val="1"/>
      <charset val="1"/>
    </font>
    <font>
      <sz val="20"/>
      <color indexed="8"/>
      <name val="Times New Roman"/>
      <family val="1"/>
      <charset val="1"/>
    </font>
    <font>
      <b/>
      <u/>
      <sz val="14"/>
      <color indexed="30"/>
      <name val="Calibri"/>
      <family val="2"/>
      <charset val="1"/>
    </font>
    <font>
      <u/>
      <sz val="11"/>
      <color indexed="30"/>
      <name val="Calibri"/>
      <family val="2"/>
      <charset val="1"/>
    </font>
    <font>
      <sz val="11"/>
      <color indexed="8"/>
      <name val="Calibri"/>
      <family val="2"/>
      <charset val="1"/>
    </font>
    <font>
      <sz val="11"/>
      <color rgb="FFFF0000"/>
      <name val="Calibri"/>
      <family val="2"/>
      <scheme val="minor"/>
    </font>
    <font>
      <b/>
      <sz val="11"/>
      <color theme="1"/>
      <name val="Calibri"/>
      <family val="2"/>
      <scheme val="minor"/>
    </font>
    <font>
      <b/>
      <sz val="13"/>
      <color theme="1"/>
      <name val="Calibri"/>
      <family val="2"/>
      <scheme val="minor"/>
    </font>
    <font>
      <b/>
      <i/>
      <u/>
      <sz val="13"/>
      <color rgb="FFFF0000"/>
      <name val="Calibri"/>
      <family val="2"/>
      <scheme val="minor"/>
    </font>
    <font>
      <b/>
      <sz val="16"/>
      <color theme="1"/>
      <name val="Calibri"/>
      <family val="2"/>
      <scheme val="minor"/>
    </font>
    <font>
      <b/>
      <sz val="12"/>
      <color theme="1"/>
      <name val="Calibri"/>
      <family val="2"/>
      <scheme val="minor"/>
    </font>
    <font>
      <b/>
      <sz val="8"/>
      <color theme="1"/>
      <name val="Calibri"/>
      <family val="2"/>
      <scheme val="minor"/>
    </font>
    <font>
      <b/>
      <sz val="10"/>
      <color theme="1"/>
      <name val="Calibri"/>
      <family val="2"/>
      <scheme val="minor"/>
    </font>
    <font>
      <b/>
      <sz val="11"/>
      <color rgb="FF00B050"/>
      <name val="Calibri"/>
      <family val="2"/>
      <scheme val="minor"/>
    </font>
    <font>
      <b/>
      <sz val="11"/>
      <color rgb="FFFF0000"/>
      <name val="Calibri"/>
      <family val="2"/>
      <scheme val="minor"/>
    </font>
    <font>
      <u/>
      <sz val="11"/>
      <color theme="10"/>
      <name val="Calibri"/>
      <family val="2"/>
    </font>
    <font>
      <b/>
      <sz val="11"/>
      <color rgb="FF00B0F0"/>
      <name val="Calibri"/>
      <family val="2"/>
      <scheme val="minor"/>
    </font>
    <font>
      <sz val="10"/>
      <color theme="3" tint="0.39997558519241921"/>
      <name val="Calibri"/>
      <family val="2"/>
      <scheme val="minor"/>
    </font>
    <font>
      <sz val="10"/>
      <color theme="1"/>
      <name val="Calibri"/>
      <family val="2"/>
      <scheme val="minor"/>
    </font>
    <font>
      <b/>
      <sz val="16"/>
      <color theme="4" tint="-0.499984740745262"/>
      <name val="Calibri"/>
      <family val="2"/>
      <scheme val="minor"/>
    </font>
    <font>
      <b/>
      <sz val="11"/>
      <color theme="4" tint="-0.499984740745262"/>
      <name val="Calibri"/>
      <family val="2"/>
      <scheme val="minor"/>
    </font>
    <font>
      <b/>
      <sz val="11"/>
      <name val="Calibri"/>
      <family val="2"/>
      <scheme val="minor"/>
    </font>
    <font>
      <sz val="9"/>
      <color indexed="81"/>
      <name val="Tahoma"/>
      <family val="2"/>
    </font>
    <font>
      <b/>
      <sz val="9"/>
      <color indexed="81"/>
      <name val="Tahoma"/>
      <family val="2"/>
    </font>
    <font>
      <b/>
      <sz val="16"/>
      <color indexed="8"/>
      <name val="Calibri"/>
      <family val="2"/>
    </font>
    <font>
      <b/>
      <sz val="11"/>
      <color indexed="8"/>
      <name val="Calibri"/>
      <family val="2"/>
    </font>
    <font>
      <b/>
      <sz val="14"/>
      <color indexed="8"/>
      <name val="Calibri"/>
      <family val="2"/>
    </font>
    <font>
      <b/>
      <sz val="14"/>
      <color rgb="FFFF0000"/>
      <name val="Calibri"/>
      <family val="2"/>
    </font>
    <font>
      <b/>
      <sz val="14"/>
      <color theme="1"/>
      <name val="Calibri"/>
      <family val="2"/>
    </font>
    <font>
      <sz val="28"/>
      <color indexed="8"/>
      <name val="Calibri"/>
      <family val="2"/>
      <charset val="1"/>
    </font>
    <font>
      <sz val="12"/>
      <color indexed="8"/>
      <name val="Calibri"/>
      <family val="2"/>
    </font>
    <font>
      <sz val="12"/>
      <color indexed="8"/>
      <name val="Calibri"/>
      <family val="2"/>
      <charset val="1"/>
    </font>
    <font>
      <b/>
      <sz val="11"/>
      <color rgb="FFFF0000"/>
      <name val="Calibri"/>
      <family val="2"/>
    </font>
    <font>
      <b/>
      <sz val="12"/>
      <color rgb="FFFF0000"/>
      <name val="Calibri"/>
      <family val="2"/>
    </font>
    <font>
      <b/>
      <sz val="18"/>
      <color theme="1"/>
      <name val="Calibri"/>
      <family val="2"/>
      <scheme val="minor"/>
    </font>
    <font>
      <sz val="20"/>
      <color indexed="8"/>
      <name val="Calibri"/>
      <family val="2"/>
      <charset val="1"/>
    </font>
    <font>
      <b/>
      <u/>
      <sz val="11"/>
      <color theme="10"/>
      <name val="Calibri"/>
      <family val="2"/>
    </font>
  </fonts>
  <fills count="22">
    <fill>
      <patternFill patternType="none"/>
    </fill>
    <fill>
      <patternFill patternType="gray125"/>
    </fill>
    <fill>
      <patternFill patternType="solid">
        <fgColor indexed="13"/>
        <bgColor indexed="34"/>
      </patternFill>
    </fill>
    <fill>
      <patternFill patternType="solid">
        <fgColor indexed="27"/>
        <bgColor indexed="41"/>
      </patternFill>
    </fill>
    <fill>
      <patternFill patternType="solid">
        <fgColor indexed="22"/>
        <bgColor indexed="42"/>
      </patternFill>
    </fill>
    <fill>
      <patternFill patternType="solid">
        <fgColor indexed="51"/>
        <bgColor indexed="52"/>
      </patternFill>
    </fill>
    <fill>
      <patternFill patternType="solid">
        <fgColor indexed="26"/>
        <bgColor indexed="27"/>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diagonal/>
    </border>
    <border>
      <left style="thin">
        <color indexed="8"/>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164" fontId="13" fillId="0" borderId="0" applyFill="0" applyBorder="0" applyProtection="0"/>
    <xf numFmtId="0" fontId="12" fillId="0" borderId="0" applyNumberFormat="0" applyFill="0" applyBorder="0" applyProtection="0"/>
  </cellStyleXfs>
  <cellXfs count="158">
    <xf numFmtId="0" fontId="0" fillId="0" borderId="0" xfId="0"/>
    <xf numFmtId="0" fontId="0" fillId="2" borderId="0" xfId="0" applyFill="1"/>
    <xf numFmtId="0" fontId="2" fillId="0" borderId="0" xfId="0" applyFont="1"/>
    <xf numFmtId="0" fontId="0" fillId="3" borderId="1" xfId="0" applyFill="1" applyBorder="1"/>
    <xf numFmtId="0" fontId="4" fillId="4" borderId="1" xfId="0" applyFont="1" applyFill="1" applyBorder="1" applyAlignment="1" applyProtection="1">
      <alignment horizontal="left" vertical="center" wrapText="1"/>
      <protection locked="0"/>
    </xf>
    <xf numFmtId="0" fontId="2" fillId="2" borderId="0" xfId="0" applyFont="1" applyFill="1"/>
    <xf numFmtId="0" fontId="3" fillId="0" borderId="3" xfId="0" applyFont="1" applyBorder="1" applyAlignment="1">
      <alignment horizontal="right"/>
    </xf>
    <xf numFmtId="0" fontId="3" fillId="0" borderId="4" xfId="0" applyFont="1" applyBorder="1"/>
    <xf numFmtId="0" fontId="2" fillId="0" borderId="4" xfId="0" applyFont="1" applyBorder="1"/>
    <xf numFmtId="165" fontId="2" fillId="4" borderId="3" xfId="1" applyNumberFormat="1" applyFont="1" applyFill="1" applyBorder="1" applyAlignment="1" applyProtection="1">
      <protection locked="0"/>
    </xf>
    <xf numFmtId="0" fontId="3" fillId="0" borderId="5" xfId="0" applyFont="1" applyBorder="1" applyAlignment="1">
      <alignment horizontal="right" vertical="top"/>
    </xf>
    <xf numFmtId="0" fontId="3" fillId="0" borderId="6" xfId="0" applyFont="1" applyBorder="1" applyAlignment="1">
      <alignment wrapText="1"/>
    </xf>
    <xf numFmtId="0" fontId="0" fillId="0" borderId="6" xfId="0" applyBorder="1"/>
    <xf numFmtId="0" fontId="2" fillId="0" borderId="5" xfId="0" applyFont="1" applyBorder="1" applyAlignment="1">
      <alignment vertical="top" wrapText="1"/>
    </xf>
    <xf numFmtId="0" fontId="0" fillId="5" borderId="0" xfId="0" applyFont="1" applyFill="1"/>
    <xf numFmtId="0" fontId="2" fillId="0" borderId="7" xfId="0" applyFont="1" applyBorder="1" applyAlignment="1">
      <alignment vertical="center"/>
    </xf>
    <xf numFmtId="0" fontId="2" fillId="0" borderId="8" xfId="0" applyFont="1" applyBorder="1"/>
    <xf numFmtId="0" fontId="0" fillId="0" borderId="9" xfId="0" applyBorder="1"/>
    <xf numFmtId="165" fontId="2" fillId="4" borderId="10" xfId="1" applyNumberFormat="1" applyFont="1" applyFill="1" applyBorder="1" applyAlignment="1" applyProtection="1">
      <protection locked="0"/>
    </xf>
    <xf numFmtId="165" fontId="2" fillId="0" borderId="0" xfId="0" applyNumberFormat="1" applyFont="1"/>
    <xf numFmtId="0" fontId="2" fillId="0" borderId="11" xfId="0" applyFont="1" applyBorder="1"/>
    <xf numFmtId="0" fontId="2" fillId="0" borderId="1" xfId="0" applyFont="1" applyBorder="1"/>
    <xf numFmtId="0" fontId="2" fillId="0" borderId="1" xfId="0" applyFont="1" applyBorder="1" applyAlignment="1">
      <alignment horizontal="center"/>
    </xf>
    <xf numFmtId="0" fontId="3" fillId="0" borderId="0" xfId="0" applyFont="1"/>
    <xf numFmtId="0" fontId="2" fillId="0" borderId="9" xfId="0" applyFont="1" applyBorder="1" applyAlignment="1">
      <alignment horizontal="left" wrapText="1"/>
    </xf>
    <xf numFmtId="0" fontId="2" fillId="0" borderId="8" xfId="0" applyFont="1" applyBorder="1" applyAlignment="1">
      <alignment horizontal="left" wrapText="1"/>
    </xf>
    <xf numFmtId="0" fontId="0" fillId="6" borderId="1" xfId="0" applyFont="1" applyFill="1" applyBorder="1" applyAlignment="1">
      <alignment horizontal="center"/>
    </xf>
    <xf numFmtId="0" fontId="0" fillId="6" borderId="12" xfId="0" applyFill="1" applyBorder="1" applyAlignment="1">
      <alignment horizontal="center"/>
    </xf>
    <xf numFmtId="2" fontId="0" fillId="6" borderId="12" xfId="0" applyNumberFormat="1" applyFill="1" applyBorder="1" applyAlignment="1">
      <alignment horizontal="center"/>
    </xf>
    <xf numFmtId="0" fontId="0" fillId="6" borderId="13" xfId="0" applyFont="1" applyFill="1" applyBorder="1" applyAlignment="1">
      <alignment horizontal="center"/>
    </xf>
    <xf numFmtId="2" fontId="0" fillId="6" borderId="13" xfId="0" applyNumberFormat="1" applyFill="1" applyBorder="1" applyAlignment="1">
      <alignment horizontal="center"/>
    </xf>
    <xf numFmtId="0" fontId="0" fillId="6" borderId="0" xfId="0" applyFill="1"/>
    <xf numFmtId="0" fontId="2" fillId="0" borderId="14" xfId="0" applyFont="1" applyBorder="1" applyAlignment="1">
      <alignment vertical="center"/>
    </xf>
    <xf numFmtId="0" fontId="2" fillId="0" borderId="15" xfId="0" applyFont="1" applyBorder="1"/>
    <xf numFmtId="0" fontId="0" fillId="0" borderId="16" xfId="0" applyBorder="1"/>
    <xf numFmtId="165" fontId="2" fillId="4" borderId="17" xfId="1" applyNumberFormat="1" applyFont="1" applyFill="1" applyBorder="1" applyAlignment="1" applyProtection="1">
      <protection locked="0"/>
    </xf>
    <xf numFmtId="0" fontId="5" fillId="6" borderId="0" xfId="0" applyFont="1" applyFill="1"/>
    <xf numFmtId="0" fontId="3" fillId="0" borderId="3" xfId="0" applyFont="1" applyBorder="1" applyAlignment="1">
      <alignment horizontal="right" vertical="center"/>
    </xf>
    <xf numFmtId="0" fontId="3" fillId="0" borderId="18" xfId="0" applyFont="1" applyBorder="1"/>
    <xf numFmtId="165" fontId="2" fillId="0" borderId="3" xfId="1" applyNumberFormat="1" applyFont="1" applyFill="1" applyBorder="1" applyAlignment="1" applyProtection="1"/>
    <xf numFmtId="0" fontId="3" fillId="0" borderId="0" xfId="0" applyFont="1" applyBorder="1" applyAlignment="1">
      <alignment horizontal="right" vertical="center"/>
    </xf>
    <xf numFmtId="0" fontId="3" fillId="0" borderId="0" xfId="0" applyFont="1" applyBorder="1"/>
    <xf numFmtId="0" fontId="2" fillId="0" borderId="0" xfId="0" applyFont="1" applyBorder="1"/>
    <xf numFmtId="165" fontId="2" fillId="0" borderId="0" xfId="1" applyNumberFormat="1" applyFont="1" applyFill="1" applyBorder="1" applyAlignment="1" applyProtection="1"/>
    <xf numFmtId="166" fontId="6" fillId="0" borderId="0" xfId="1" applyNumberFormat="1" applyFont="1" applyFill="1" applyBorder="1" applyAlignment="1" applyProtection="1">
      <protection hidden="1"/>
    </xf>
    <xf numFmtId="0" fontId="3" fillId="0" borderId="0" xfId="0" applyFont="1" applyFill="1" applyBorder="1"/>
    <xf numFmtId="0" fontId="0" fillId="2" borderId="0" xfId="0" applyFill="1" applyAlignment="1">
      <alignment horizontal="left" wrapText="1"/>
    </xf>
    <xf numFmtId="0" fontId="0" fillId="0" borderId="0" xfId="0" applyAlignment="1">
      <alignment horizontal="left" wrapText="1"/>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2" applyNumberFormat="1" applyFont="1" applyFill="1" applyBorder="1" applyAlignment="1" applyProtection="1">
      <alignment vertical="center"/>
    </xf>
    <xf numFmtId="0" fontId="21" fillId="0" borderId="19" xfId="0" applyFont="1" applyBorder="1" applyAlignment="1" applyProtection="1">
      <alignment horizontal="center" vertical="center" wrapText="1"/>
      <protection hidden="1"/>
    </xf>
    <xf numFmtId="1" fontId="0" fillId="0" borderId="0" xfId="0" applyNumberFormat="1"/>
    <xf numFmtId="0" fontId="15" fillId="0" borderId="19" xfId="0" applyFont="1" applyBorder="1" applyAlignment="1" applyProtection="1">
      <alignment wrapText="1"/>
      <protection hidden="1"/>
    </xf>
    <xf numFmtId="0" fontId="0" fillId="0" borderId="0" xfId="0" applyAlignment="1"/>
    <xf numFmtId="0" fontId="0" fillId="0" borderId="0" xfId="0" applyAlignment="1">
      <alignment horizontal="left"/>
    </xf>
    <xf numFmtId="0" fontId="0" fillId="12" borderId="19" xfId="0" applyFont="1" applyFill="1" applyBorder="1" applyAlignment="1" applyProtection="1">
      <alignment wrapText="1"/>
      <protection locked="0" hidden="1"/>
    </xf>
    <xf numFmtId="17" fontId="34" fillId="7" borderId="19" xfId="0" applyNumberFormat="1" applyFont="1" applyFill="1" applyBorder="1" applyAlignment="1" applyProtection="1">
      <alignment horizontal="center"/>
      <protection hidden="1"/>
    </xf>
    <xf numFmtId="0" fontId="34" fillId="7" borderId="19" xfId="0" applyFont="1" applyFill="1" applyBorder="1" applyAlignment="1" applyProtection="1">
      <alignment horizontal="center"/>
      <protection hidden="1"/>
    </xf>
    <xf numFmtId="17" fontId="0" fillId="8" borderId="19" xfId="0" applyNumberFormat="1" applyFill="1" applyBorder="1" applyAlignment="1" applyProtection="1">
      <alignment horizontal="center"/>
      <protection hidden="1"/>
    </xf>
    <xf numFmtId="0" fontId="0" fillId="15" borderId="19" xfId="0" applyFill="1" applyBorder="1" applyAlignment="1" applyProtection="1">
      <alignment horizontal="center"/>
      <protection hidden="1"/>
    </xf>
    <xf numFmtId="0" fontId="0" fillId="16" borderId="19" xfId="0" applyFill="1" applyBorder="1" applyAlignment="1" applyProtection="1">
      <alignment horizontal="center"/>
      <protection locked="0" hidden="1"/>
    </xf>
    <xf numFmtId="17" fontId="30" fillId="7" borderId="19" xfId="0" applyNumberFormat="1" applyFont="1" applyFill="1" applyBorder="1" applyAlignment="1" applyProtection="1">
      <alignment horizontal="center"/>
      <protection hidden="1"/>
    </xf>
    <xf numFmtId="0" fontId="30" fillId="16" borderId="19" xfId="0" applyFont="1" applyFill="1" applyBorder="1" applyAlignment="1" applyProtection="1">
      <alignment horizontal="center"/>
      <protection locked="0" hidden="1"/>
    </xf>
    <xf numFmtId="0" fontId="0" fillId="16" borderId="19" xfId="0" applyFill="1" applyBorder="1" applyAlignment="1" applyProtection="1">
      <alignment horizontal="center"/>
      <protection locked="0"/>
    </xf>
    <xf numFmtId="0" fontId="30" fillId="15" borderId="19" xfId="0" applyFont="1" applyFill="1" applyBorder="1" applyAlignment="1" applyProtection="1">
      <alignment horizontal="center"/>
      <protection hidden="1"/>
    </xf>
    <xf numFmtId="0" fontId="0" fillId="0" borderId="0" xfId="0" applyProtection="1">
      <protection hidden="1"/>
    </xf>
    <xf numFmtId="1" fontId="0" fillId="0" borderId="0" xfId="0" applyNumberFormat="1" applyProtection="1">
      <protection hidden="1"/>
    </xf>
    <xf numFmtId="0" fontId="15" fillId="16" borderId="19" xfId="0" applyFont="1" applyFill="1" applyBorder="1" applyAlignment="1" applyProtection="1">
      <alignment horizontal="center"/>
      <protection locked="0" hidden="1"/>
    </xf>
    <xf numFmtId="1" fontId="0" fillId="12" borderId="19" xfId="0" applyNumberFormat="1" applyFont="1" applyFill="1" applyBorder="1" applyAlignment="1" applyProtection="1">
      <alignment wrapText="1"/>
      <protection locked="0" hidden="1"/>
    </xf>
    <xf numFmtId="0" fontId="23" fillId="7" borderId="19" xfId="0" applyFont="1" applyFill="1" applyBorder="1" applyAlignment="1" applyProtection="1">
      <protection locked="0" hidden="1"/>
    </xf>
    <xf numFmtId="0" fontId="15" fillId="0" borderId="19" xfId="0" applyFont="1" applyBorder="1" applyAlignment="1" applyProtection="1">
      <alignment horizontal="center" vertical="center" wrapText="1"/>
      <protection hidden="1"/>
    </xf>
    <xf numFmtId="0" fontId="39" fillId="0" borderId="19" xfId="0" applyFont="1" applyBorder="1" applyAlignment="1" applyProtection="1">
      <alignment horizontal="center" vertical="center"/>
      <protection hidden="1"/>
    </xf>
    <xf numFmtId="0" fontId="39" fillId="0" borderId="19" xfId="0" quotePrefix="1" applyFont="1" applyBorder="1" applyAlignment="1" applyProtection="1">
      <alignment horizontal="center" vertical="center"/>
      <protection hidden="1"/>
    </xf>
    <xf numFmtId="0" fontId="0" fillId="0" borderId="0" xfId="0" applyAlignment="1">
      <alignment vertical="center"/>
    </xf>
    <xf numFmtId="0" fontId="15" fillId="0" borderId="19" xfId="0" applyFont="1" applyBorder="1" applyAlignment="1" applyProtection="1">
      <alignment vertical="center" wrapText="1"/>
      <protection hidden="1"/>
    </xf>
    <xf numFmtId="1" fontId="0" fillId="0" borderId="19" xfId="0" applyNumberFormat="1" applyBorder="1"/>
    <xf numFmtId="0" fontId="19" fillId="0" borderId="19" xfId="0" applyFont="1" applyBorder="1" applyAlignment="1" applyProtection="1">
      <alignment horizontal="center" vertical="center" wrapText="1"/>
      <protection hidden="1"/>
    </xf>
    <xf numFmtId="0" fontId="0" fillId="0" borderId="19" xfId="0" applyBorder="1" applyAlignment="1">
      <alignment horizontal="left"/>
    </xf>
    <xf numFmtId="0" fontId="15" fillId="0" borderId="19" xfId="0" applyFont="1" applyBorder="1" applyAlignment="1" applyProtection="1">
      <alignment horizontal="left" wrapText="1"/>
      <protection hidden="1"/>
    </xf>
    <xf numFmtId="0" fontId="15" fillId="7" borderId="19" xfId="0" applyFont="1" applyFill="1" applyBorder="1" applyAlignment="1" applyProtection="1">
      <alignment horizontal="left" wrapText="1"/>
      <protection locked="0" hidden="1"/>
    </xf>
    <xf numFmtId="0" fontId="0" fillId="0" borderId="19" xfId="0" applyBorder="1"/>
    <xf numFmtId="0" fontId="15" fillId="7" borderId="19" xfId="0" applyFont="1" applyFill="1" applyBorder="1" applyAlignment="1">
      <alignment horizontal="left"/>
    </xf>
    <xf numFmtId="0" fontId="15" fillId="0" borderId="19" xfId="0" applyFont="1" applyBorder="1" applyAlignment="1" applyProtection="1">
      <alignment horizontal="left" vertical="center" wrapText="1"/>
      <protection hidden="1"/>
    </xf>
    <xf numFmtId="0" fontId="0" fillId="0" borderId="19" xfId="0" applyBorder="1" applyAlignment="1" applyProtection="1">
      <alignment horizontal="left" vertical="center" wrapText="1"/>
      <protection hidden="1"/>
    </xf>
    <xf numFmtId="0" fontId="27" fillId="0" borderId="19" xfId="0" applyFont="1" applyBorder="1" applyAlignment="1">
      <alignment horizontal="left" vertical="center" wrapText="1"/>
    </xf>
    <xf numFmtId="1" fontId="37" fillId="11" borderId="19" xfId="0" applyNumberFormat="1" applyFont="1" applyFill="1" applyBorder="1" applyAlignment="1" applyProtection="1">
      <alignment horizontal="center"/>
      <protection hidden="1"/>
    </xf>
    <xf numFmtId="0" fontId="15" fillId="0" borderId="19" xfId="0" applyFont="1" applyBorder="1" applyAlignment="1" applyProtection="1">
      <alignment horizontal="left" wrapText="1"/>
      <protection hidden="1"/>
    </xf>
    <xf numFmtId="0" fontId="28" fillId="0" borderId="19" xfId="0" applyFont="1" applyBorder="1" applyAlignment="1" applyProtection="1">
      <alignment horizontal="center"/>
      <protection locked="0"/>
    </xf>
    <xf numFmtId="0" fontId="16" fillId="0" borderId="19" xfId="0" applyFont="1" applyBorder="1" applyAlignment="1" applyProtection="1">
      <alignment horizontal="center" vertical="center" wrapText="1"/>
      <protection hidden="1"/>
    </xf>
    <xf numFmtId="0" fontId="18" fillId="0" borderId="19" xfId="0" applyFont="1" applyBorder="1" applyAlignment="1" applyProtection="1">
      <alignment horizontal="center" vertical="center" wrapText="1"/>
      <protection hidden="1"/>
    </xf>
    <xf numFmtId="0" fontId="19" fillId="0" borderId="19" xfId="0" applyFont="1" applyBorder="1" applyAlignment="1" applyProtection="1">
      <alignment vertical="center" wrapText="1"/>
      <protection locked="0" hidden="1"/>
    </xf>
    <xf numFmtId="0" fontId="0" fillId="0" borderId="19" xfId="0" applyBorder="1" applyAlignment="1" applyProtection="1">
      <alignment horizontal="center" vertical="center"/>
      <protection hidden="1"/>
    </xf>
    <xf numFmtId="0" fontId="0" fillId="0" borderId="19" xfId="0" quotePrefix="1" applyBorder="1" applyAlignment="1" applyProtection="1">
      <alignment horizontal="center" vertical="center"/>
      <protection hidden="1"/>
    </xf>
    <xf numFmtId="0" fontId="22" fillId="0" borderId="19" xfId="0" applyFont="1" applyBorder="1" applyAlignment="1" applyProtection="1">
      <alignment horizontal="center"/>
      <protection hidden="1"/>
    </xf>
    <xf numFmtId="0" fontId="14" fillId="0" borderId="19" xfId="0" applyFont="1" applyBorder="1" applyAlignment="1" applyProtection="1">
      <alignment horizontal="center"/>
      <protection locked="0" hidden="1"/>
    </xf>
    <xf numFmtId="0" fontId="15" fillId="0" borderId="19" xfId="0" applyFont="1" applyBorder="1" applyAlignment="1" applyProtection="1">
      <alignment horizontal="center" wrapText="1"/>
      <protection hidden="1"/>
    </xf>
    <xf numFmtId="0" fontId="29" fillId="0" borderId="19" xfId="0" applyFont="1" applyBorder="1" applyAlignment="1" applyProtection="1">
      <alignment horizontal="center"/>
      <protection hidden="1"/>
    </xf>
    <xf numFmtId="0" fontId="0" fillId="0" borderId="0" xfId="0" applyAlignment="1">
      <alignment horizontal="center"/>
    </xf>
    <xf numFmtId="1" fontId="22" fillId="18" borderId="19" xfId="0" applyNumberFormat="1" applyFont="1" applyFill="1" applyBorder="1" applyAlignment="1" applyProtection="1">
      <alignment horizontal="center"/>
      <protection hidden="1"/>
    </xf>
    <xf numFmtId="0" fontId="0" fillId="8" borderId="19" xfId="0" applyFill="1" applyBorder="1" applyAlignment="1" applyProtection="1">
      <alignment horizontal="center" wrapText="1"/>
      <protection hidden="1"/>
    </xf>
    <xf numFmtId="0" fontId="0" fillId="0" borderId="19" xfId="0" applyBorder="1"/>
    <xf numFmtId="0" fontId="33" fillId="13" borderId="19" xfId="0" applyFont="1" applyFill="1" applyBorder="1" applyAlignment="1" applyProtection="1">
      <alignment horizontal="center"/>
      <protection hidden="1"/>
    </xf>
    <xf numFmtId="0" fontId="0" fillId="11" borderId="19" xfId="0" applyFill="1" applyBorder="1" applyAlignment="1" applyProtection="1">
      <alignment horizontal="center"/>
      <protection hidden="1"/>
    </xf>
    <xf numFmtId="0" fontId="35" fillId="14" borderId="19" xfId="0" applyFont="1" applyFill="1" applyBorder="1" applyAlignment="1" applyProtection="1">
      <alignment horizontal="center" wrapText="1"/>
      <protection hidden="1"/>
    </xf>
    <xf numFmtId="0" fontId="23" fillId="0" borderId="19" xfId="0" applyFont="1" applyBorder="1" applyAlignment="1" applyProtection="1">
      <alignment horizontal="center"/>
      <protection hidden="1"/>
    </xf>
    <xf numFmtId="0" fontId="24" fillId="0" borderId="19" xfId="2" applyFont="1" applyBorder="1" applyAlignment="1" applyProtection="1">
      <alignment horizontal="center"/>
      <protection hidden="1"/>
    </xf>
    <xf numFmtId="0" fontId="1" fillId="2" borderId="1" xfId="0" applyFont="1" applyFill="1" applyBorder="1" applyAlignment="1">
      <alignment horizontal="center" vertical="center"/>
    </xf>
    <xf numFmtId="0" fontId="3" fillId="3" borderId="1" xfId="0" applyFont="1" applyFill="1" applyBorder="1" applyAlignment="1">
      <alignment horizontal="left" vertical="center"/>
    </xf>
    <xf numFmtId="0" fontId="0" fillId="2" borderId="2" xfId="0" applyFill="1" applyBorder="1" applyAlignment="1">
      <alignment horizontal="center"/>
    </xf>
    <xf numFmtId="0" fontId="2" fillId="0" borderId="9" xfId="0" applyFont="1" applyBorder="1" applyAlignment="1">
      <alignment horizontal="left" wrapText="1"/>
    </xf>
    <xf numFmtId="0" fontId="0" fillId="0" borderId="0" xfId="0" applyFont="1" applyBorder="1" applyAlignment="1">
      <alignment horizontal="left" wrapText="1"/>
    </xf>
    <xf numFmtId="0" fontId="38" fillId="8" borderId="0" xfId="0" applyFont="1" applyFill="1" applyAlignment="1" applyProtection="1">
      <alignment horizontal="center"/>
      <protection hidden="1"/>
    </xf>
    <xf numFmtId="0" fontId="40" fillId="19" borderId="19" xfId="0" applyFont="1" applyFill="1" applyBorder="1" applyAlignment="1">
      <alignment horizontal="center" vertical="top" wrapText="1"/>
    </xf>
    <xf numFmtId="0" fontId="40" fillId="21" borderId="19" xfId="0" applyFont="1" applyFill="1" applyBorder="1" applyAlignment="1">
      <alignment horizontal="center" vertical="top" wrapText="1"/>
    </xf>
    <xf numFmtId="0" fontId="43" fillId="7" borderId="19" xfId="0" applyFont="1" applyFill="1" applyBorder="1" applyAlignment="1" applyProtection="1">
      <alignment horizontal="center" vertical="center"/>
      <protection locked="0" hidden="1"/>
    </xf>
    <xf numFmtId="0" fontId="43" fillId="7" borderId="19" xfId="0" applyFont="1" applyFill="1" applyBorder="1" applyAlignment="1" applyProtection="1">
      <alignment horizontal="center"/>
      <protection hidden="1"/>
    </xf>
    <xf numFmtId="0" fontId="30" fillId="0" borderId="19" xfId="0" applyFont="1" applyBorder="1" applyAlignment="1" applyProtection="1">
      <alignment horizontal="center" wrapText="1"/>
      <protection hidden="1"/>
    </xf>
    <xf numFmtId="0" fontId="20" fillId="0" borderId="19" xfId="0" applyFont="1" applyBorder="1" applyAlignment="1" applyProtection="1">
      <alignment horizontal="left" vertical="center" wrapText="1"/>
      <protection locked="0" hidden="1"/>
    </xf>
    <xf numFmtId="0" fontId="15" fillId="0" borderId="19" xfId="0" applyFont="1" applyBorder="1" applyAlignment="1" applyProtection="1">
      <alignment horizontal="left" vertical="center"/>
      <protection hidden="1"/>
    </xf>
    <xf numFmtId="0" fontId="19" fillId="0" borderId="19" xfId="0" applyFont="1" applyBorder="1" applyAlignment="1" applyProtection="1">
      <alignment horizontal="left" vertical="center"/>
      <protection hidden="1"/>
    </xf>
    <xf numFmtId="0" fontId="15" fillId="0" borderId="19" xfId="0" applyFont="1" applyBorder="1" applyAlignment="1" applyProtection="1">
      <alignment horizontal="left" vertical="center"/>
      <protection hidden="1"/>
    </xf>
    <xf numFmtId="0" fontId="15" fillId="9" borderId="19" xfId="0" applyFont="1" applyFill="1" applyBorder="1" applyAlignment="1" applyProtection="1">
      <alignment horizontal="left" vertical="center"/>
      <protection locked="0" hidden="1"/>
    </xf>
    <xf numFmtId="1" fontId="15" fillId="8" borderId="19" xfId="0" applyNumberFormat="1" applyFont="1" applyFill="1" applyBorder="1" applyAlignment="1" applyProtection="1">
      <alignment horizontal="left" vertical="top"/>
      <protection locked="0" hidden="1"/>
    </xf>
    <xf numFmtId="0" fontId="15" fillId="0" borderId="19" xfId="0" applyFont="1" applyBorder="1" applyAlignment="1" applyProtection="1">
      <alignment horizontal="left" vertical="center"/>
      <protection locked="0" hidden="1"/>
    </xf>
    <xf numFmtId="1" fontId="23" fillId="0" borderId="19" xfId="0" applyNumberFormat="1" applyFont="1" applyBorder="1" applyAlignment="1" applyProtection="1">
      <alignment horizontal="left"/>
      <protection hidden="1"/>
    </xf>
    <xf numFmtId="0" fontId="15" fillId="0" borderId="19" xfId="0" applyFont="1" applyBorder="1" applyAlignment="1" applyProtection="1">
      <alignment horizontal="left"/>
      <protection hidden="1"/>
    </xf>
    <xf numFmtId="0" fontId="23" fillId="0" borderId="19" xfId="0" applyFont="1" applyBorder="1" applyAlignment="1" applyProtection="1">
      <alignment horizontal="left"/>
      <protection hidden="1"/>
    </xf>
    <xf numFmtId="1" fontId="23" fillId="7" borderId="19" xfId="0" applyNumberFormat="1" applyFont="1" applyFill="1" applyBorder="1" applyAlignment="1" applyProtection="1">
      <alignment horizontal="left"/>
      <protection hidden="1"/>
    </xf>
    <xf numFmtId="1" fontId="22" fillId="7" borderId="19" xfId="0" applyNumberFormat="1" applyFont="1" applyFill="1" applyBorder="1" applyAlignment="1" applyProtection="1">
      <alignment horizontal="left"/>
      <protection hidden="1"/>
    </xf>
    <xf numFmtId="0" fontId="15" fillId="0" borderId="19" xfId="0" applyFont="1" applyBorder="1" applyAlignment="1" applyProtection="1">
      <alignment horizontal="left"/>
      <protection locked="0" hidden="1"/>
    </xf>
    <xf numFmtId="1" fontId="25" fillId="0" borderId="19" xfId="0" applyNumberFormat="1" applyFont="1" applyBorder="1" applyAlignment="1" applyProtection="1">
      <alignment horizontal="left"/>
      <protection hidden="1"/>
    </xf>
    <xf numFmtId="1" fontId="15" fillId="0" borderId="19" xfId="0" applyNumberFormat="1" applyFont="1" applyBorder="1" applyAlignment="1" applyProtection="1">
      <alignment horizontal="left"/>
      <protection hidden="1"/>
    </xf>
    <xf numFmtId="1" fontId="23" fillId="10" borderId="19" xfId="0" applyNumberFormat="1" applyFont="1" applyFill="1" applyBorder="1" applyAlignment="1" applyProtection="1">
      <alignment horizontal="left"/>
      <protection hidden="1"/>
    </xf>
    <xf numFmtId="0" fontId="14" fillId="21" borderId="19" xfId="0" applyFont="1" applyFill="1" applyBorder="1" applyAlignment="1" applyProtection="1">
      <alignment horizontal="center"/>
      <protection locked="0" hidden="1"/>
    </xf>
    <xf numFmtId="0" fontId="36" fillId="7" borderId="19" xfId="0" applyFont="1" applyFill="1" applyBorder="1" applyAlignment="1" applyProtection="1">
      <alignment horizontal="center" wrapText="1"/>
      <protection hidden="1"/>
    </xf>
    <xf numFmtId="1" fontId="0" fillId="19" borderId="19" xfId="0" applyNumberFormat="1" applyFill="1" applyBorder="1" applyAlignment="1" applyProtection="1">
      <alignment horizontal="center"/>
      <protection hidden="1"/>
    </xf>
    <xf numFmtId="1" fontId="23" fillId="19" borderId="19" xfId="0" applyNumberFormat="1" applyFont="1" applyFill="1" applyBorder="1" applyAlignment="1" applyProtection="1">
      <alignment horizontal="center"/>
      <protection hidden="1"/>
    </xf>
    <xf numFmtId="0" fontId="44" fillId="15" borderId="0" xfId="0" applyFont="1" applyFill="1" applyAlignment="1" applyProtection="1">
      <alignment horizontal="left"/>
      <protection hidden="1"/>
    </xf>
    <xf numFmtId="0" fontId="44" fillId="12" borderId="0" xfId="0" applyFont="1" applyFill="1" applyAlignment="1" applyProtection="1">
      <alignment horizontal="left"/>
      <protection hidden="1"/>
    </xf>
    <xf numFmtId="0" fontId="44" fillId="11" borderId="0" xfId="0" applyFont="1" applyFill="1" applyAlignment="1" applyProtection="1">
      <alignment horizontal="left"/>
      <protection hidden="1"/>
    </xf>
    <xf numFmtId="0" fontId="44" fillId="7" borderId="0" xfId="0" applyFont="1" applyFill="1" applyAlignment="1" applyProtection="1">
      <alignment horizontal="left"/>
      <protection hidden="1"/>
    </xf>
    <xf numFmtId="0" fontId="44" fillId="14" borderId="0" xfId="0" applyFont="1" applyFill="1" applyAlignment="1" applyProtection="1">
      <alignment horizontal="left"/>
      <protection hidden="1"/>
    </xf>
    <xf numFmtId="0" fontId="44" fillId="17" borderId="0" xfId="0" applyFont="1" applyFill="1" applyAlignment="1" applyProtection="1">
      <alignment horizontal="left" wrapText="1"/>
      <protection hidden="1"/>
    </xf>
    <xf numFmtId="0" fontId="44" fillId="19" borderId="0" xfId="0" applyFont="1" applyFill="1" applyAlignment="1">
      <alignment horizontal="left"/>
    </xf>
    <xf numFmtId="0" fontId="42" fillId="19" borderId="21" xfId="0" applyFont="1" applyFill="1" applyBorder="1" applyAlignment="1">
      <alignment horizontal="center" vertical="top" wrapText="1"/>
    </xf>
    <xf numFmtId="0" fontId="42" fillId="19" borderId="22" xfId="0" applyFont="1" applyFill="1" applyBorder="1" applyAlignment="1">
      <alignment horizontal="center" vertical="top" wrapText="1"/>
    </xf>
    <xf numFmtId="0" fontId="42" fillId="19" borderId="20" xfId="0" applyFont="1" applyFill="1" applyBorder="1" applyAlignment="1">
      <alignment horizontal="center" vertical="top" wrapText="1"/>
    </xf>
    <xf numFmtId="0" fontId="22" fillId="7" borderId="19" xfId="0" applyFont="1" applyFill="1" applyBorder="1" applyAlignment="1" applyProtection="1">
      <alignment horizontal="center" wrapText="1"/>
      <protection hidden="1"/>
    </xf>
    <xf numFmtId="0" fontId="15" fillId="7" borderId="19" xfId="0" applyFont="1" applyFill="1" applyBorder="1" applyAlignment="1" applyProtection="1">
      <alignment horizontal="left"/>
      <protection hidden="1"/>
    </xf>
    <xf numFmtId="0" fontId="0" fillId="19" borderId="19" xfId="0" applyFill="1" applyBorder="1" applyAlignment="1" applyProtection="1">
      <alignment horizontal="center"/>
      <protection hidden="1"/>
    </xf>
    <xf numFmtId="0" fontId="45" fillId="20" borderId="19" xfId="2" applyFont="1" applyFill="1" applyBorder="1" applyAlignment="1" applyProtection="1">
      <alignment horizontal="center"/>
      <protection hidden="1"/>
    </xf>
    <xf numFmtId="0" fontId="45" fillId="7" borderId="19" xfId="2" applyFont="1" applyFill="1" applyBorder="1" applyAlignment="1" applyProtection="1">
      <alignment horizontal="center"/>
      <protection hidden="1"/>
    </xf>
    <xf numFmtId="0" fontId="45" fillId="9" borderId="19" xfId="2" applyFont="1" applyFill="1" applyBorder="1" applyAlignment="1" applyProtection="1">
      <alignment horizontal="center"/>
      <protection hidden="1"/>
    </xf>
    <xf numFmtId="0" fontId="34" fillId="0" borderId="19" xfId="0" applyFont="1" applyBorder="1" applyAlignment="1" applyProtection="1">
      <alignment horizontal="center"/>
      <protection hidden="1"/>
    </xf>
    <xf numFmtId="0" fontId="34" fillId="7" borderId="19" xfId="0" applyFont="1" applyFill="1" applyBorder="1" applyAlignment="1" applyProtection="1">
      <alignment horizontal="center"/>
      <protection hidden="1"/>
    </xf>
    <xf numFmtId="0" fontId="23" fillId="19" borderId="19" xfId="0" applyFont="1" applyFill="1" applyBorder="1" applyAlignment="1" applyProtection="1">
      <alignment horizontal="left"/>
      <protection hidden="1"/>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5E0B4"/>
      <rgbColor rgb="00808080"/>
      <rgbColor rgb="009999FF"/>
      <rgbColor rgb="00993366"/>
      <rgbColor rgb="00FBE5D6"/>
      <rgbColor rgb="00DEEBF7"/>
      <rgbColor rgb="00660066"/>
      <rgbColor rgb="00FF8080"/>
      <rgbColor rgb="000563C1"/>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facebook.com/abCAus" TargetMode="External"/><Relationship Id="rId1" Type="http://schemas.openxmlformats.org/officeDocument/2006/relationships/hyperlink" Target="http://abcaus.in/macros.pdf" TargetMode="External"/><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hyperlink" Target="https://youtu.be/gNizknzAF_E" TargetMode="External"/></Relationships>
</file>

<file path=xl/drawings/drawing1.xml><?xml version="1.0" encoding="utf-8"?>
<xdr:wsDr xmlns:xdr="http://schemas.openxmlformats.org/drawingml/2006/spreadsheetDrawing" xmlns:a="http://schemas.openxmlformats.org/drawingml/2006/main">
  <xdr:twoCellAnchor>
    <xdr:from>
      <xdr:col>8</xdr:col>
      <xdr:colOff>428625</xdr:colOff>
      <xdr:row>9</xdr:row>
      <xdr:rowOff>85725</xdr:rowOff>
    </xdr:from>
    <xdr:to>
      <xdr:col>12</xdr:col>
      <xdr:colOff>390525</xdr:colOff>
      <xdr:row>22</xdr:row>
      <xdr:rowOff>142875</xdr:rowOff>
    </xdr:to>
    <xdr:pic>
      <xdr:nvPicPr>
        <xdr:cNvPr id="2049" name="Picture 4"/>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5305425" y="2209800"/>
          <a:ext cx="2400300" cy="2533650"/>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cap="flat">
              <a:solidFill>
                <a:srgbClr val="3465A4"/>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4</xdr:row>
      <xdr:rowOff>183696</xdr:rowOff>
    </xdr:from>
    <xdr:to>
      <xdr:col>0</xdr:col>
      <xdr:colOff>561975</xdr:colOff>
      <xdr:row>4</xdr:row>
      <xdr:rowOff>193223</xdr:rowOff>
    </xdr:to>
    <xdr:cxnSp macro="">
      <xdr:nvCxnSpPr>
        <xdr:cNvPr id="3" name="Straight Arrow Connector 2"/>
        <xdr:cNvCxnSpPr/>
      </xdr:nvCxnSpPr>
      <xdr:spPr bwMode="auto">
        <a:xfrm flipV="1">
          <a:off x="133350" y="1435553"/>
          <a:ext cx="428625" cy="9527"/>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133350</xdr:colOff>
      <xdr:row>6</xdr:row>
      <xdr:rowOff>167368</xdr:rowOff>
    </xdr:from>
    <xdr:to>
      <xdr:col>0</xdr:col>
      <xdr:colOff>561975</xdr:colOff>
      <xdr:row>6</xdr:row>
      <xdr:rowOff>176895</xdr:rowOff>
    </xdr:to>
    <xdr:cxnSp macro="">
      <xdr:nvCxnSpPr>
        <xdr:cNvPr id="6" name="Straight Arrow Connector 5"/>
        <xdr:cNvCxnSpPr/>
      </xdr:nvCxnSpPr>
      <xdr:spPr bwMode="auto">
        <a:xfrm flipV="1">
          <a:off x="133350" y="2079172"/>
          <a:ext cx="428625" cy="9527"/>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68035</xdr:colOff>
      <xdr:row>41</xdr:row>
      <xdr:rowOff>74840</xdr:rowOff>
    </xdr:from>
    <xdr:to>
      <xdr:col>0</xdr:col>
      <xdr:colOff>632732</xdr:colOff>
      <xdr:row>43</xdr:row>
      <xdr:rowOff>27214</xdr:rowOff>
    </xdr:to>
    <xdr:sp macro="" textlink="">
      <xdr:nvSpPr>
        <xdr:cNvPr id="10" name="Right Arrow 9"/>
        <xdr:cNvSpPr/>
      </xdr:nvSpPr>
      <xdr:spPr bwMode="auto">
        <a:xfrm>
          <a:off x="68035" y="8450036"/>
          <a:ext cx="564697" cy="421821"/>
        </a:xfrm>
        <a:prstGeom prst="right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142875</xdr:colOff>
      <xdr:row>0</xdr:row>
      <xdr:rowOff>57150</xdr:rowOff>
    </xdr:from>
    <xdr:to>
      <xdr:col>13</xdr:col>
      <xdr:colOff>9525</xdr:colOff>
      <xdr:row>0</xdr:row>
      <xdr:rowOff>590550</xdr:rowOff>
    </xdr:to>
    <xdr:sp macro="" textlink="" fLocksText="0">
      <xdr:nvSpPr>
        <xdr:cNvPr id="1025" name="Rectangle 1">
          <a:hlinkClick xmlns:r="http://schemas.openxmlformats.org/officeDocument/2006/relationships" r:id="rId1"/>
        </xdr:cNvPr>
        <xdr:cNvSpPr>
          <a:spLocks noChangeArrowheads="1"/>
        </xdr:cNvSpPr>
      </xdr:nvSpPr>
      <xdr:spPr bwMode="auto">
        <a:xfrm>
          <a:off x="5581650" y="57150"/>
          <a:ext cx="1371600" cy="533400"/>
        </a:xfrm>
        <a:prstGeom prst="rect">
          <a:avLst/>
        </a:prstGeom>
        <a:solidFill>
          <a:srgbClr val="FFFFFF"/>
        </a:solidFill>
        <a:ln w="12600" cap="flat">
          <a:solidFill>
            <a:srgbClr val="ED7D31"/>
          </a:solidFill>
          <a:miter lim="800000"/>
          <a:headEnd/>
          <a:tailEn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l" rtl="0">
            <a:defRPr sz="1000"/>
          </a:pPr>
          <a:r>
            <a:rPr lang="en-US" sz="1100" b="0" i="0" u="none" strike="noStrike" baseline="0">
              <a:solidFill>
                <a:srgbClr val="000000"/>
              </a:solidFill>
              <a:latin typeface="Calibri"/>
            </a:rPr>
            <a:t>Macros must have been enabled to use this utility.   </a:t>
          </a:r>
        </a:p>
        <a:p>
          <a:pPr algn="l" rtl="0">
            <a:defRPr sz="1000"/>
          </a:pPr>
          <a:r>
            <a:rPr lang="en-US" sz="1100" b="0" i="0" u="none" strike="noStrike" baseline="0">
              <a:solidFill>
                <a:srgbClr val="000000"/>
              </a:solidFill>
              <a:latin typeface="Calibri"/>
            </a:rPr>
            <a:t>Macro Help</a:t>
          </a:r>
        </a:p>
      </xdr:txBody>
    </xdr:sp>
    <xdr:clientData/>
  </xdr:twoCellAnchor>
  <xdr:twoCellAnchor>
    <xdr:from>
      <xdr:col>3</xdr:col>
      <xdr:colOff>161925</xdr:colOff>
      <xdr:row>0</xdr:row>
      <xdr:rowOff>104775</xdr:rowOff>
    </xdr:from>
    <xdr:to>
      <xdr:col>3</xdr:col>
      <xdr:colOff>1352550</xdr:colOff>
      <xdr:row>0</xdr:row>
      <xdr:rowOff>581025</xdr:rowOff>
    </xdr:to>
    <xdr:pic>
      <xdr:nvPicPr>
        <xdr:cNvPr id="1026" name="Picture 7">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286250" y="104775"/>
          <a:ext cx="1190625" cy="476250"/>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cap="flat">
              <a:solidFill>
                <a:srgbClr val="3465A4"/>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2305050</xdr:colOff>
      <xdr:row>0</xdr:row>
      <xdr:rowOff>95250</xdr:rowOff>
    </xdr:from>
    <xdr:to>
      <xdr:col>3</xdr:col>
      <xdr:colOff>9525</xdr:colOff>
      <xdr:row>0</xdr:row>
      <xdr:rowOff>590550</xdr:rowOff>
    </xdr:to>
    <xdr:pic>
      <xdr:nvPicPr>
        <xdr:cNvPr id="1027" name="Picture 8">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781300" y="95250"/>
          <a:ext cx="1352550" cy="495300"/>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cap="flat">
              <a:solidFill>
                <a:srgbClr val="3465A4"/>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47625</xdr:colOff>
      <xdr:row>0</xdr:row>
      <xdr:rowOff>85725</xdr:rowOff>
    </xdr:from>
    <xdr:to>
      <xdr:col>2</xdr:col>
      <xdr:colOff>962025</xdr:colOff>
      <xdr:row>0</xdr:row>
      <xdr:rowOff>600075</xdr:rowOff>
    </xdr:to>
    <xdr:pic>
      <xdr:nvPicPr>
        <xdr:cNvPr id="1028" name="Picture 8"/>
        <xdr:cNvPicPr>
          <a:picLocks noChangeAspect="1" noChangeArrowheads="1"/>
        </xdr:cNvPicPr>
      </xdr:nvPicPr>
      <xdr:blipFill>
        <a:blip xmlns:r="http://schemas.openxmlformats.org/officeDocument/2006/relationships" r:embed="rId6">
          <a:extLst>
            <a:ext uri="{28A0092B-C50C-407E-A947-70E740481C1C}">
              <a14:useLocalDpi xmlns="" xmlns:a14="http://schemas.microsoft.com/office/drawing/2010/main" val="0"/>
            </a:ext>
          </a:extLst>
        </a:blip>
        <a:srcRect/>
        <a:stretch>
          <a:fillRect/>
        </a:stretch>
      </xdr:blipFill>
      <xdr:spPr bwMode="auto">
        <a:xfrm>
          <a:off x="171450" y="85725"/>
          <a:ext cx="1266825" cy="514350"/>
        </a:xfrm>
        <a:prstGeom prst="rect">
          <a:avLst/>
        </a:prstGeom>
        <a:noFill/>
        <a:ln>
          <a:noFill/>
        </a:ln>
        <a:effectLst/>
        <a:extLst>
          <a:ext uri="{909E8E84-426E-40DD-AFC4-6F175D3DCCD1}">
            <a14:hiddenFill xmlns=""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 xmlns:a14="http://schemas.microsoft.com/office/drawing/2010/main" w="9525" cap="flat">
              <a:solidFill>
                <a:srgbClr val="3465A4"/>
              </a:solidFill>
              <a:round/>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10</xdr:col>
      <xdr:colOff>838200</xdr:colOff>
      <xdr:row>5</xdr:row>
      <xdr:rowOff>38100</xdr:rowOff>
    </xdr:from>
    <xdr:to>
      <xdr:col>10</xdr:col>
      <xdr:colOff>1123950</xdr:colOff>
      <xdr:row>5</xdr:row>
      <xdr:rowOff>171450</xdr:rowOff>
    </xdr:to>
    <xdr:sp macro="" textlink="">
      <xdr:nvSpPr>
        <xdr:cNvPr id="1029" name="Arrow: Notched Right 8"/>
        <xdr:cNvSpPr>
          <a:spLocks noChangeArrowheads="1"/>
        </xdr:cNvSpPr>
      </xdr:nvSpPr>
      <xdr:spPr bwMode="auto">
        <a:xfrm>
          <a:off x="5143500" y="1581150"/>
          <a:ext cx="285750" cy="133350"/>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11</xdr:col>
      <xdr:colOff>857250</xdr:colOff>
      <xdr:row>6</xdr:row>
      <xdr:rowOff>209550</xdr:rowOff>
    </xdr:from>
    <xdr:to>
      <xdr:col>11</xdr:col>
      <xdr:colOff>990600</xdr:colOff>
      <xdr:row>6</xdr:row>
      <xdr:rowOff>381000</xdr:rowOff>
    </xdr:to>
    <xdr:sp macro="" textlink="">
      <xdr:nvSpPr>
        <xdr:cNvPr id="1030" name="Arrow: Notched Right 9"/>
        <xdr:cNvSpPr>
          <a:spLocks noChangeArrowheads="1"/>
        </xdr:cNvSpPr>
      </xdr:nvSpPr>
      <xdr:spPr bwMode="auto">
        <a:xfrm>
          <a:off x="6296025" y="1952625"/>
          <a:ext cx="133350" cy="171450"/>
        </a:xfrm>
        <a:custGeom>
          <a:avLst/>
          <a:gdLst>
            <a:gd name="G0" fmla="min 381 487"/>
            <a:gd name="G1" fmla="*/ 32767 381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381 0 G12"/>
            <a:gd name="G14" fmla="*/ 487 G6 1"/>
            <a:gd name="G15" fmla="*/ G14 1 32767"/>
            <a:gd name="G16" fmla="*/ 487 1 2"/>
            <a:gd name="G17" fmla="+- G16 0 G15"/>
            <a:gd name="G18" fmla="+- G16 G15 0"/>
            <a:gd name="G19" fmla="+- G18 0 0"/>
            <a:gd name="G20" fmla="*/ 487 1 2"/>
            <a:gd name="G21" fmla="*/ G15 G12 1"/>
            <a:gd name="G22" fmla="*/ G21 1 G20"/>
            <a:gd name="G23" fmla="+- 381 0 G22"/>
            <a:gd name="G24" fmla="+- 381 0 0"/>
            <a:gd name="G25" fmla="+- 487 0 0"/>
          </a:gdLst>
          <a:ahLst/>
          <a:cxnLst>
            <a:cxn ang="0">
              <a:pos x="r" y="vc"/>
            </a:cxn>
            <a:cxn ang="5400000">
              <a:pos x="hc" y="b"/>
            </a:cxn>
            <a:cxn ang="10800000">
              <a:pos x="l" y="vc"/>
            </a:cxn>
            <a:cxn ang="16200000">
              <a:pos x="hc" y="t"/>
            </a:cxn>
          </a:cxnLst>
          <a:rect l="0" t="0" r="0" b="0"/>
          <a:pathLst>
            <a:path>
              <a:moveTo>
                <a:pt x="0" y="500"/>
              </a:moveTo>
              <a:lnTo>
                <a:pt x="581" y="500"/>
              </a:lnTo>
              <a:lnTo>
                <a:pt x="581" y="0"/>
              </a:lnTo>
              <a:lnTo>
                <a:pt x="381" y="244"/>
              </a:lnTo>
              <a:lnTo>
                <a:pt x="581" y="487"/>
              </a:lnTo>
              <a:lnTo>
                <a:pt x="581" y="-12"/>
              </a:lnTo>
              <a:lnTo>
                <a:pt x="0" y="-12"/>
              </a:lnTo>
              <a:lnTo>
                <a:pt x="210" y="244"/>
              </a:lnTo>
              <a:close/>
            </a:path>
          </a:pathLst>
        </a:custGeom>
        <a:solidFill>
          <a:srgbClr val="FF0000"/>
        </a:solidFill>
        <a:ln w="12600" cap="flat">
          <a:solidFill>
            <a:srgbClr val="000000"/>
          </a:solidFill>
          <a:miter lim="800000"/>
          <a:headEnd/>
          <a:tailEn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10</xdr:col>
      <xdr:colOff>828675</xdr:colOff>
      <xdr:row>3</xdr:row>
      <xdr:rowOff>200025</xdr:rowOff>
    </xdr:from>
    <xdr:to>
      <xdr:col>10</xdr:col>
      <xdr:colOff>1104900</xdr:colOff>
      <xdr:row>3</xdr:row>
      <xdr:rowOff>342900</xdr:rowOff>
    </xdr:to>
    <xdr:sp macro="" textlink="">
      <xdr:nvSpPr>
        <xdr:cNvPr id="1031" name="Arrow: Notched Right 10"/>
        <xdr:cNvSpPr>
          <a:spLocks noChangeArrowheads="1"/>
        </xdr:cNvSpPr>
      </xdr:nvSpPr>
      <xdr:spPr bwMode="auto">
        <a:xfrm>
          <a:off x="5133975" y="1181100"/>
          <a:ext cx="276225" cy="142875"/>
        </a:xfrm>
        <a:custGeom>
          <a:avLst/>
          <a:gdLst>
            <a:gd name="G0" fmla="min 826 402"/>
            <a:gd name="G1" fmla="*/ 32767 826 1"/>
            <a:gd name="G2" fmla="*/ G1 1 G0"/>
            <a:gd name="G3" fmla="+- 0 0 50000"/>
            <a:gd name="G4" fmla="+- 32767 0 50000"/>
            <a:gd name="G5" fmla="?: G4 50000 32767"/>
            <a:gd name="G6" fmla="?: G3 0 G4"/>
            <a:gd name="G7" fmla="+- 0 0 50000"/>
            <a:gd name="G8" fmla="+- G2 0 50000"/>
            <a:gd name="G9" fmla="?: G8 50000 G2"/>
            <a:gd name="G10" fmla="?: G7 0 G8"/>
            <a:gd name="G11" fmla="*/ G0 G10 1"/>
            <a:gd name="G12" fmla="*/ G11 1 32767"/>
            <a:gd name="G13" fmla="+- 826 0 G12"/>
            <a:gd name="G14" fmla="*/ 402 G6 1"/>
            <a:gd name="G15" fmla="*/ G14 1 32767"/>
            <a:gd name="G16" fmla="*/ 402 1 2"/>
            <a:gd name="G17" fmla="+- G16 0 G15"/>
            <a:gd name="G18" fmla="+- G16 G15 0"/>
            <a:gd name="G19" fmla="+- G18 0 0"/>
            <a:gd name="G20" fmla="*/ 402 1 2"/>
            <a:gd name="G21" fmla="*/ G15 G12 1"/>
            <a:gd name="G22" fmla="*/ G21 1 G20"/>
            <a:gd name="G23" fmla="+- 826 0 G22"/>
            <a:gd name="G24" fmla="+- 826 0 0"/>
            <a:gd name="G25" fmla="+- 402 0 0"/>
          </a:gdLst>
          <a:ahLst/>
          <a:cxnLst>
            <a:cxn ang="0">
              <a:pos x="r" y="vc"/>
            </a:cxn>
            <a:cxn ang="5400000">
              <a:pos x="hc" y="b"/>
            </a:cxn>
            <a:cxn ang="10800000">
              <a:pos x="l" y="vc"/>
            </a:cxn>
            <a:cxn ang="16200000">
              <a:pos x="hc" y="t"/>
            </a:cxn>
          </a:cxnLst>
          <a:rect l="0" t="0" r="0" b="0"/>
          <a:pathLst>
            <a:path>
              <a:moveTo>
                <a:pt x="0" y="412"/>
              </a:moveTo>
              <a:lnTo>
                <a:pt x="613" y="412"/>
              </a:lnTo>
              <a:lnTo>
                <a:pt x="613" y="0"/>
              </a:lnTo>
              <a:lnTo>
                <a:pt x="826" y="201"/>
              </a:lnTo>
              <a:lnTo>
                <a:pt x="613" y="402"/>
              </a:lnTo>
              <a:lnTo>
                <a:pt x="613" y="-10"/>
              </a:lnTo>
              <a:lnTo>
                <a:pt x="0" y="-10"/>
              </a:lnTo>
              <a:lnTo>
                <a:pt x="-224" y="201"/>
              </a:lnTo>
              <a:close/>
            </a:path>
          </a:pathLst>
        </a:custGeom>
        <a:solidFill>
          <a:srgbClr val="FF0000"/>
        </a:solidFill>
        <a:ln w="12600" cap="flat">
          <a:solidFill>
            <a:srgbClr val="000000"/>
          </a:solidFill>
          <a:miter lim="800000"/>
          <a:headEnd/>
          <a:tailEn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bcaus.in/macros.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ESS@4%2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24"/>
  <sheetViews>
    <sheetView workbookViewId="0">
      <selection activeCell="D8" sqref="D8"/>
    </sheetView>
  </sheetViews>
  <sheetFormatPr defaultColWidth="0" defaultRowHeight="15" zeroHeight="1"/>
  <cols>
    <col min="1" max="17" width="9.140625" customWidth="1"/>
    <col min="18" max="16384" width="8.85546875" hidden="1"/>
  </cols>
  <sheetData>
    <row r="1" spans="8:8"/>
    <row r="2" spans="8:8"/>
    <row r="3" spans="8:8"/>
    <row r="4" spans="8:8"/>
    <row r="5" spans="8:8"/>
    <row r="6" spans="8:8" ht="31.5">
      <c r="H6" s="48" t="s">
        <v>35</v>
      </c>
    </row>
    <row r="7" spans="8:8" ht="15.75">
      <c r="H7" s="49"/>
    </row>
    <row r="8" spans="8:8" ht="26.25">
      <c r="H8" s="50" t="s">
        <v>36</v>
      </c>
    </row>
    <row r="9" spans="8:8" ht="18.75">
      <c r="H9" s="51" t="s">
        <v>37</v>
      </c>
    </row>
    <row r="10" spans="8:8"/>
    <row r="11" spans="8:8"/>
    <row r="12" spans="8:8"/>
    <row r="13" spans="8:8"/>
    <row r="14" spans="8:8"/>
    <row r="15" spans="8:8"/>
    <row r="16" spans="8:8"/>
    <row r="17"/>
    <row r="18"/>
    <row r="19"/>
    <row r="20"/>
    <row r="21"/>
    <row r="22"/>
    <row r="23"/>
    <row r="24"/>
  </sheetData>
  <sheetProtection sheet="1"/>
  <hyperlinks>
    <hyperlink ref="H9" r:id="rId1"/>
  </hyperlinks>
  <pageMargins left="0.7" right="0.7" top="0.75" bottom="0.75" header="0.51180555555555551" footer="0.51180555555555551"/>
  <pageSetup firstPageNumber="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dimension ref="A1:S55"/>
  <sheetViews>
    <sheetView tabSelected="1" zoomScale="140" zoomScaleNormal="140" workbookViewId="0">
      <selection activeCell="A2" sqref="A2:G2"/>
    </sheetView>
  </sheetViews>
  <sheetFormatPr defaultColWidth="0" defaultRowHeight="15" zeroHeight="1"/>
  <cols>
    <col min="1" max="1" width="10" customWidth="1"/>
    <col min="2" max="2" width="14.85546875" customWidth="1"/>
    <col min="3" max="3" width="14.140625" customWidth="1"/>
    <col min="4" max="4" width="13.5703125" customWidth="1"/>
    <col min="5" max="5" width="13.42578125" customWidth="1"/>
    <col min="6" max="6" width="13.7109375" customWidth="1"/>
    <col min="7" max="7" width="15" customWidth="1"/>
    <col min="8" max="11" width="9.140625" hidden="1" customWidth="1"/>
    <col min="12" max="13" width="0" hidden="1" customWidth="1"/>
    <col min="14" max="19" width="9.140625" hidden="1" customWidth="1"/>
    <col min="20" max="16384" width="9.140625" hidden="1"/>
  </cols>
  <sheetData>
    <row r="1" spans="1:19" ht="21">
      <c r="A1" s="89" t="s">
        <v>38</v>
      </c>
      <c r="B1" s="89"/>
      <c r="C1" s="89"/>
      <c r="D1" s="89"/>
      <c r="E1" s="89"/>
      <c r="F1" s="89"/>
      <c r="G1" s="89"/>
      <c r="H1" s="82"/>
    </row>
    <row r="2" spans="1:19" ht="17.25" customHeight="1">
      <c r="A2" s="90" t="s">
        <v>91</v>
      </c>
      <c r="B2" s="90"/>
      <c r="C2" s="90"/>
      <c r="D2" s="90"/>
      <c r="E2" s="90"/>
      <c r="F2" s="90"/>
      <c r="G2" s="90"/>
      <c r="H2" s="82"/>
    </row>
    <row r="3" spans="1:19" ht="22.5" customHeight="1">
      <c r="A3" s="91" t="s">
        <v>39</v>
      </c>
      <c r="B3" s="91"/>
      <c r="C3" s="92" t="s">
        <v>67</v>
      </c>
      <c r="D3" s="92"/>
      <c r="E3" s="92"/>
      <c r="F3" s="76" t="s">
        <v>40</v>
      </c>
      <c r="G3" s="119" t="s">
        <v>66</v>
      </c>
      <c r="H3" s="82"/>
    </row>
    <row r="4" spans="1:19" ht="38.25">
      <c r="A4" s="114" t="s">
        <v>86</v>
      </c>
      <c r="B4" s="78" t="s">
        <v>81</v>
      </c>
      <c r="C4" s="72" t="s">
        <v>83</v>
      </c>
      <c r="D4" s="72" t="s">
        <v>84</v>
      </c>
      <c r="E4" s="52" t="s">
        <v>92</v>
      </c>
      <c r="F4" s="52" t="s">
        <v>97</v>
      </c>
      <c r="G4" s="120" t="s">
        <v>41</v>
      </c>
      <c r="H4" s="82"/>
    </row>
    <row r="5" spans="1:19" ht="21.75" customHeight="1">
      <c r="A5" s="114"/>
      <c r="B5" s="116">
        <v>57700</v>
      </c>
      <c r="C5" s="73">
        <f>B5*0.17</f>
        <v>9809</v>
      </c>
      <c r="D5" s="73">
        <f>B5*0.08</f>
        <v>4616</v>
      </c>
      <c r="E5" s="73">
        <f>(B5+C5+D5)*4</f>
        <v>288500</v>
      </c>
      <c r="F5" s="74" t="s">
        <v>42</v>
      </c>
      <c r="G5" s="121">
        <f>SUM(E5:F5)</f>
        <v>288500</v>
      </c>
      <c r="H5" s="77">
        <f>ROUND(B5*1.03,-2)</f>
        <v>59400</v>
      </c>
      <c r="K5">
        <f>B5*1.03</f>
        <v>59431</v>
      </c>
    </row>
    <row r="6" spans="1:19" ht="30">
      <c r="A6" s="115" t="s">
        <v>87</v>
      </c>
      <c r="B6" s="118" t="s">
        <v>82</v>
      </c>
      <c r="C6" s="93">
        <f>B7*0.31</f>
        <v>18414</v>
      </c>
      <c r="D6" s="93">
        <f>B7*0.09</f>
        <v>5346</v>
      </c>
      <c r="E6" s="94" t="s">
        <v>42</v>
      </c>
      <c r="F6" s="93">
        <f>(B7+C6+D6)*8</f>
        <v>665280</v>
      </c>
      <c r="G6" s="122">
        <f>SUM(F6)</f>
        <v>665280</v>
      </c>
      <c r="H6" s="77"/>
    </row>
    <row r="7" spans="1:19" ht="23.25">
      <c r="A7" s="115"/>
      <c r="B7" s="117">
        <f>ROUND(K5,-2)</f>
        <v>59400</v>
      </c>
      <c r="C7" s="93"/>
      <c r="D7" s="93"/>
      <c r="E7" s="94"/>
      <c r="F7" s="93"/>
      <c r="G7" s="122"/>
      <c r="H7" s="77"/>
    </row>
    <row r="8" spans="1:19">
      <c r="A8" s="95" t="s">
        <v>73</v>
      </c>
      <c r="B8" s="95"/>
      <c r="C8" s="95"/>
      <c r="D8" s="95"/>
      <c r="E8" s="95"/>
      <c r="F8" s="95"/>
      <c r="G8" s="123">
        <v>0</v>
      </c>
      <c r="H8" s="77"/>
      <c r="R8" t="s">
        <v>70</v>
      </c>
      <c r="S8" s="53">
        <f>(B5+C5)/2</f>
        <v>33754.5</v>
      </c>
    </row>
    <row r="9" spans="1:19">
      <c r="A9" s="95" t="s">
        <v>65</v>
      </c>
      <c r="B9" s="95"/>
      <c r="C9" s="71" t="s">
        <v>93</v>
      </c>
      <c r="D9" s="100"/>
      <c r="E9" s="100"/>
      <c r="F9" s="100"/>
      <c r="G9" s="124">
        <f>IF(C9="BEFORE JULY",S8,IF(C9="AFTER JUNE",S9,0))</f>
        <v>0</v>
      </c>
      <c r="H9" s="77"/>
      <c r="R9" t="s">
        <v>71</v>
      </c>
      <c r="S9">
        <f>(B7+C6)/2</f>
        <v>38907</v>
      </c>
    </row>
    <row r="10" spans="1:19">
      <c r="A10" s="95"/>
      <c r="B10" s="95"/>
      <c r="C10" s="95"/>
      <c r="D10" s="95"/>
      <c r="E10" s="95"/>
      <c r="F10" s="95"/>
      <c r="G10" s="125">
        <v>0</v>
      </c>
      <c r="H10" s="77"/>
      <c r="S10">
        <v>0</v>
      </c>
    </row>
    <row r="11" spans="1:19">
      <c r="A11" s="96" t="s">
        <v>105</v>
      </c>
      <c r="B11" s="96"/>
      <c r="C11" s="96"/>
      <c r="D11" s="96"/>
      <c r="E11" s="96"/>
      <c r="F11" s="96"/>
      <c r="G11" s="126">
        <f>SUM($G5:$G10)</f>
        <v>953780</v>
      </c>
      <c r="H11" s="77"/>
    </row>
    <row r="12" spans="1:19" ht="15" customHeight="1">
      <c r="A12" s="97" t="s">
        <v>43</v>
      </c>
      <c r="B12" s="97"/>
      <c r="C12" s="97"/>
      <c r="D12" s="97"/>
      <c r="E12" s="97"/>
      <c r="F12" s="54"/>
      <c r="G12" s="127">
        <v>-50000</v>
      </c>
      <c r="H12" s="82"/>
    </row>
    <row r="13" spans="1:19">
      <c r="A13" s="98" t="s">
        <v>106</v>
      </c>
      <c r="B13" s="98"/>
      <c r="C13" s="98"/>
      <c r="D13" s="98"/>
      <c r="E13" s="98"/>
      <c r="F13" s="98"/>
      <c r="G13" s="126">
        <f>SUM(G11:G12)</f>
        <v>903780</v>
      </c>
      <c r="H13" s="77"/>
    </row>
    <row r="14" spans="1:19">
      <c r="A14" s="149" t="s">
        <v>44</v>
      </c>
      <c r="B14" s="149"/>
      <c r="C14" s="149"/>
      <c r="D14" s="149"/>
      <c r="E14" s="149"/>
      <c r="F14" s="149"/>
      <c r="G14" s="127"/>
      <c r="H14" s="82"/>
    </row>
    <row r="15" spans="1:19" ht="15" customHeight="1">
      <c r="A15" s="88" t="s">
        <v>45</v>
      </c>
      <c r="B15" s="88"/>
      <c r="C15" s="88"/>
      <c r="D15" s="88"/>
      <c r="E15" s="88"/>
      <c r="F15" s="57">
        <v>150000</v>
      </c>
      <c r="G15" s="127"/>
      <c r="H15" s="82"/>
      <c r="O15" s="55"/>
    </row>
    <row r="16" spans="1:19" ht="15" customHeight="1">
      <c r="A16" s="88" t="s">
        <v>46</v>
      </c>
      <c r="B16" s="88"/>
      <c r="C16" s="88"/>
      <c r="D16" s="88"/>
      <c r="E16" s="88"/>
      <c r="F16" s="57">
        <v>50000</v>
      </c>
      <c r="G16" s="127"/>
      <c r="H16" s="82"/>
      <c r="R16" t="s">
        <v>77</v>
      </c>
      <c r="S16" s="53">
        <f>ROUND(B5,0)/31</f>
        <v>1861.2903225806451</v>
      </c>
    </row>
    <row r="17" spans="1:19" ht="15" customHeight="1">
      <c r="A17" s="88" t="s">
        <v>47</v>
      </c>
      <c r="B17" s="88"/>
      <c r="C17" s="88"/>
      <c r="D17" s="88"/>
      <c r="E17" s="88"/>
      <c r="F17" s="57">
        <v>0</v>
      </c>
      <c r="G17" s="127"/>
      <c r="H17" s="82"/>
      <c r="R17" t="s">
        <v>78</v>
      </c>
      <c r="S17">
        <f>ROUND(S16*3,0)</f>
        <v>5584</v>
      </c>
    </row>
    <row r="18" spans="1:19" ht="15" customHeight="1">
      <c r="A18" s="88" t="s">
        <v>48</v>
      </c>
      <c r="B18" s="88"/>
      <c r="C18" s="88"/>
      <c r="D18" s="88"/>
      <c r="E18" s="88"/>
      <c r="F18" s="57">
        <v>0</v>
      </c>
      <c r="G18" s="127"/>
      <c r="H18" s="82"/>
      <c r="R18" t="s">
        <v>79</v>
      </c>
      <c r="S18">
        <f>ROUND(S16*5,0)</f>
        <v>9306</v>
      </c>
    </row>
    <row r="19" spans="1:19" ht="15" customHeight="1">
      <c r="A19" s="88" t="s">
        <v>49</v>
      </c>
      <c r="B19" s="88"/>
      <c r="C19" s="88"/>
      <c r="D19" s="88"/>
      <c r="E19" s="88"/>
      <c r="F19" s="57">
        <v>0</v>
      </c>
      <c r="G19" s="127"/>
      <c r="H19" s="82"/>
    </row>
    <row r="20" spans="1:19" ht="15" customHeight="1">
      <c r="A20" s="88" t="s">
        <v>50</v>
      </c>
      <c r="B20" s="88"/>
      <c r="C20" s="88"/>
      <c r="D20" s="88"/>
      <c r="E20" s="88"/>
      <c r="F20" s="57">
        <v>0</v>
      </c>
      <c r="G20" s="127"/>
      <c r="H20" s="82"/>
    </row>
    <row r="21" spans="1:19" ht="15" customHeight="1">
      <c r="A21" s="88" t="s">
        <v>90</v>
      </c>
      <c r="B21" s="88"/>
      <c r="C21" s="88"/>
      <c r="D21" s="88"/>
      <c r="E21" s="88"/>
      <c r="F21" s="57">
        <v>0</v>
      </c>
      <c r="G21" s="127"/>
      <c r="H21" s="82"/>
    </row>
    <row r="22" spans="1:19" ht="15" hidden="1" customHeight="1">
      <c r="A22" s="79"/>
      <c r="B22" s="80"/>
      <c r="C22" s="88"/>
      <c r="D22" s="88"/>
      <c r="E22" s="81"/>
      <c r="F22" s="70"/>
      <c r="G22" s="127"/>
    </row>
    <row r="23" spans="1:19" ht="15" customHeight="1">
      <c r="A23" s="88" t="s">
        <v>76</v>
      </c>
      <c r="B23" s="88"/>
      <c r="C23" s="88"/>
      <c r="D23" s="88"/>
      <c r="E23" s="88"/>
      <c r="F23" s="57">
        <v>0</v>
      </c>
      <c r="G23" s="127"/>
    </row>
    <row r="24" spans="1:19" ht="15" customHeight="1">
      <c r="A24" s="88" t="s">
        <v>63</v>
      </c>
      <c r="B24" s="88"/>
      <c r="C24" s="88"/>
      <c r="D24" s="88"/>
      <c r="E24" s="88"/>
      <c r="F24" s="57">
        <v>0</v>
      </c>
      <c r="G24" s="127"/>
    </row>
    <row r="25" spans="1:19">
      <c r="A25" s="151" t="s">
        <v>51</v>
      </c>
      <c r="B25" s="151"/>
      <c r="C25" s="151"/>
      <c r="D25" s="151"/>
      <c r="E25" s="151"/>
      <c r="F25" s="151"/>
      <c r="G25" s="150">
        <f>F15+F16+F17+F18+F19+F20+F24+F21+F23+F22</f>
        <v>200000</v>
      </c>
    </row>
    <row r="26" spans="1:19">
      <c r="A26" s="106" t="s">
        <v>52</v>
      </c>
      <c r="B26" s="106"/>
      <c r="C26" s="106"/>
      <c r="D26" s="106"/>
      <c r="E26" s="106"/>
      <c r="F26" s="106"/>
      <c r="G26" s="126">
        <f>G13-G25</f>
        <v>703780</v>
      </c>
    </row>
    <row r="27" spans="1:19">
      <c r="A27" s="106" t="s">
        <v>53</v>
      </c>
      <c r="B27" s="106"/>
      <c r="C27" s="106"/>
      <c r="D27" s="106"/>
      <c r="E27" s="106"/>
      <c r="F27" s="106"/>
      <c r="G27" s="126">
        <f>IF(G26&gt;500000,250000,0)*5%+IF(G26&gt;1000000,500000,IF(G26&gt;500000,G26-500000,0))*20%+IF(G26&gt;1000000,(G26-1000000),0)*30%</f>
        <v>53256</v>
      </c>
    </row>
    <row r="28" spans="1:19">
      <c r="A28" s="107" t="s">
        <v>54</v>
      </c>
      <c r="B28" s="107"/>
      <c r="C28" s="107"/>
      <c r="D28" s="107"/>
      <c r="E28" s="107"/>
      <c r="F28" s="107"/>
      <c r="G28" s="128">
        <f>ROUND(G27*0.04,-1)</f>
        <v>2130</v>
      </c>
      <c r="N28" s="67">
        <f>SUM(B39+C39+D39+E39+F39+G39+B41+C41+D41+E41+F41+G41)</f>
        <v>63500</v>
      </c>
    </row>
    <row r="29" spans="1:19">
      <c r="A29" s="153" t="s">
        <v>59</v>
      </c>
      <c r="B29" s="153"/>
      <c r="C29" s="153"/>
      <c r="D29" s="153"/>
      <c r="E29" s="153"/>
      <c r="F29" s="153"/>
      <c r="G29" s="129">
        <f>SUM(G27:G28)</f>
        <v>55386</v>
      </c>
      <c r="N29" s="68">
        <f>N28-G36</f>
        <v>8114</v>
      </c>
    </row>
    <row r="30" spans="1:19">
      <c r="A30" s="152" t="s">
        <v>62</v>
      </c>
      <c r="B30" s="152"/>
      <c r="C30" s="152"/>
      <c r="D30" s="152"/>
      <c r="E30" s="152"/>
      <c r="F30" s="152"/>
      <c r="G30" s="126">
        <f>ROUND('tax-calculator'!E30,-1)*1.04</f>
        <v>70792.800000000003</v>
      </c>
    </row>
    <row r="31" spans="1:19">
      <c r="A31" s="154" t="s">
        <v>60</v>
      </c>
      <c r="B31" s="154"/>
      <c r="C31" s="154"/>
      <c r="D31" s="154"/>
      <c r="E31" s="154"/>
      <c r="F31" s="154"/>
      <c r="G31" s="130">
        <f>MIN(G29:G30)</f>
        <v>55386</v>
      </c>
    </row>
    <row r="32" spans="1:19">
      <c r="A32" s="155" t="s">
        <v>55</v>
      </c>
      <c r="B32" s="155"/>
      <c r="C32" s="155"/>
      <c r="D32" s="155"/>
      <c r="E32" s="155"/>
      <c r="F32" s="155"/>
      <c r="G32" s="131">
        <v>20000</v>
      </c>
    </row>
    <row r="33" spans="1:9">
      <c r="A33" s="156" t="s">
        <v>56</v>
      </c>
      <c r="B33" s="156"/>
      <c r="C33" s="156"/>
      <c r="D33" s="156"/>
      <c r="E33" s="156"/>
      <c r="F33" s="156"/>
      <c r="G33" s="132">
        <f>G31-G32</f>
        <v>35386</v>
      </c>
    </row>
    <row r="34" spans="1:9">
      <c r="A34" s="155" t="s">
        <v>57</v>
      </c>
      <c r="B34" s="155"/>
      <c r="C34" s="155"/>
      <c r="D34" s="155"/>
      <c r="E34" s="155"/>
      <c r="F34" s="135">
        <v>7</v>
      </c>
      <c r="G34" s="133"/>
      <c r="I34" s="75"/>
    </row>
    <row r="35" spans="1:9">
      <c r="A35" s="156" t="s">
        <v>64</v>
      </c>
      <c r="B35" s="156"/>
      <c r="C35" s="156"/>
      <c r="D35" s="156"/>
      <c r="E35" s="156"/>
      <c r="F35" s="156"/>
      <c r="G35" s="157">
        <f>ROUND(G33/F34,-2)</f>
        <v>5100</v>
      </c>
    </row>
    <row r="36" spans="1:9" ht="15" customHeight="1">
      <c r="A36" s="146" t="s">
        <v>88</v>
      </c>
      <c r="B36" s="104" t="s">
        <v>80</v>
      </c>
      <c r="C36" s="102"/>
      <c r="D36" s="102"/>
      <c r="E36" s="102"/>
      <c r="F36" s="102"/>
      <c r="G36" s="134">
        <f>G31</f>
        <v>55386</v>
      </c>
    </row>
    <row r="37" spans="1:9" ht="21">
      <c r="A37" s="147"/>
      <c r="B37" s="103" t="s">
        <v>94</v>
      </c>
      <c r="C37" s="102"/>
      <c r="D37" s="102"/>
      <c r="E37" s="102"/>
      <c r="F37" s="102"/>
      <c r="G37" s="102"/>
    </row>
    <row r="38" spans="1:9" ht="15" customHeight="1">
      <c r="A38" s="147"/>
      <c r="B38" s="58">
        <v>43891</v>
      </c>
      <c r="C38" s="58">
        <v>43922</v>
      </c>
      <c r="D38" s="58">
        <v>43952</v>
      </c>
      <c r="E38" s="58">
        <v>43983</v>
      </c>
      <c r="F38" s="58">
        <v>44013</v>
      </c>
      <c r="G38" s="63">
        <v>44044</v>
      </c>
    </row>
    <row r="39" spans="1:9" ht="15" customHeight="1">
      <c r="A39" s="147"/>
      <c r="B39" s="62">
        <v>4000</v>
      </c>
      <c r="C39" s="62">
        <v>4000</v>
      </c>
      <c r="D39" s="62">
        <v>4000</v>
      </c>
      <c r="E39" s="62">
        <v>4000</v>
      </c>
      <c r="F39" s="62">
        <v>4000</v>
      </c>
      <c r="G39" s="64">
        <v>6200</v>
      </c>
    </row>
    <row r="40" spans="1:9" ht="15" customHeight="1">
      <c r="A40" s="147"/>
      <c r="B40" s="58">
        <v>44075</v>
      </c>
      <c r="C40" s="58">
        <v>44105</v>
      </c>
      <c r="D40" s="59" t="s">
        <v>68</v>
      </c>
      <c r="E40" s="58">
        <v>44166</v>
      </c>
      <c r="F40" s="58">
        <v>44197</v>
      </c>
      <c r="G40" s="63">
        <v>44228</v>
      </c>
    </row>
    <row r="41" spans="1:9" ht="15" customHeight="1">
      <c r="A41" s="147"/>
      <c r="B41" s="62">
        <v>6200</v>
      </c>
      <c r="C41" s="65">
        <v>6200</v>
      </c>
      <c r="D41" s="65">
        <v>6200</v>
      </c>
      <c r="E41" s="62">
        <v>6200</v>
      </c>
      <c r="F41" s="62">
        <v>6200</v>
      </c>
      <c r="G41" s="69">
        <v>6300</v>
      </c>
    </row>
    <row r="42" spans="1:9" ht="15" customHeight="1">
      <c r="A42" s="147"/>
      <c r="B42" s="105" t="s">
        <v>74</v>
      </c>
      <c r="C42" s="102"/>
      <c r="D42" s="60">
        <v>43983</v>
      </c>
      <c r="E42" s="60">
        <v>44075</v>
      </c>
      <c r="F42" s="60">
        <v>44166</v>
      </c>
      <c r="G42" s="60">
        <v>44256</v>
      </c>
    </row>
    <row r="43" spans="1:9" ht="21.75" customHeight="1">
      <c r="A43" s="147"/>
      <c r="B43" s="102"/>
      <c r="C43" s="102"/>
      <c r="D43" s="61">
        <f>ROUND(G31*15%,0)</f>
        <v>8308</v>
      </c>
      <c r="E43" s="61">
        <f>ROUND(G31*45%,0)</f>
        <v>24924</v>
      </c>
      <c r="F43" s="61">
        <f>ROUND(G31*75%,0)</f>
        <v>41540</v>
      </c>
      <c r="G43" s="66">
        <f>ROUND(G31*100%,0)</f>
        <v>55386</v>
      </c>
    </row>
    <row r="44" spans="1:9" ht="15" customHeight="1">
      <c r="A44" s="148"/>
      <c r="B44" s="101" t="s">
        <v>69</v>
      </c>
      <c r="C44" s="102"/>
      <c r="D44" s="137">
        <f>MAX(0,D43-B39-C39-D39)</f>
        <v>0</v>
      </c>
      <c r="E44" s="137">
        <f>MAX(0,E43-B39-C39-D39-E39-F39-G39)</f>
        <v>0</v>
      </c>
      <c r="F44" s="137">
        <f>MAX(0,F43-B39-C39-D39-E39-F39-G39-B41-C41-D41)</f>
        <v>0</v>
      </c>
      <c r="G44" s="138">
        <f>MAX(0,G43-B39-C39-D39-E39-F39-G39-B41-C41-D41-E41-F41-G41)</f>
        <v>0</v>
      </c>
    </row>
    <row r="45" spans="1:9" ht="18.75" customHeight="1">
      <c r="A45" s="136" t="str">
        <f>IF((N28-G36)&lt;=0,"Income tax Payable","Income Tax Refundable")</f>
        <v>Income Tax Refundable</v>
      </c>
      <c r="B45" s="136"/>
      <c r="C45" s="136"/>
      <c r="D45" s="136"/>
      <c r="E45" s="136"/>
      <c r="F45" s="87">
        <f>ABS(N29)</f>
        <v>8114</v>
      </c>
      <c r="G45" s="87"/>
    </row>
    <row r="46" spans="1:9" ht="32.25" customHeight="1">
      <c r="A46" s="84" t="s">
        <v>95</v>
      </c>
      <c r="B46" s="84"/>
      <c r="C46" s="84"/>
      <c r="D46" s="84"/>
      <c r="E46" s="84"/>
      <c r="F46" s="84"/>
      <c r="G46" s="84"/>
    </row>
    <row r="47" spans="1:9" ht="19.5" customHeight="1">
      <c r="A47" s="84" t="s">
        <v>85</v>
      </c>
      <c r="B47" s="84"/>
      <c r="C47" s="84"/>
      <c r="D47" s="84"/>
      <c r="E47" s="84"/>
      <c r="F47" s="84"/>
      <c r="G47" s="84"/>
    </row>
    <row r="48" spans="1:9" ht="38.25" customHeight="1">
      <c r="A48" s="85" t="s">
        <v>89</v>
      </c>
      <c r="B48" s="85"/>
      <c r="C48" s="85"/>
      <c r="D48" s="85"/>
      <c r="E48" s="85"/>
      <c r="F48" s="85"/>
      <c r="G48" s="85"/>
    </row>
    <row r="49" spans="1:14" ht="15" customHeight="1">
      <c r="A49" s="86" t="s">
        <v>58</v>
      </c>
      <c r="B49" s="86"/>
      <c r="C49" s="86"/>
      <c r="D49" s="86"/>
      <c r="E49" s="86"/>
      <c r="F49" s="86"/>
      <c r="G49" s="86"/>
      <c r="N49" s="56"/>
    </row>
    <row r="50" spans="1:14">
      <c r="A50" s="83" t="s">
        <v>96</v>
      </c>
      <c r="B50" s="83"/>
      <c r="C50" s="83"/>
      <c r="D50" s="83"/>
      <c r="E50" s="83"/>
      <c r="F50" s="83"/>
      <c r="G50" s="83"/>
    </row>
    <row r="51" spans="1:14"/>
    <row r="52" spans="1:14"/>
    <row r="53" spans="1:14">
      <c r="F53" s="99" t="s">
        <v>61</v>
      </c>
      <c r="G53" s="99"/>
    </row>
    <row r="54" spans="1:14">
      <c r="F54" s="99"/>
      <c r="G54" s="99"/>
    </row>
    <row r="55" spans="1:14">
      <c r="F55" s="99"/>
      <c r="G55" s="99"/>
    </row>
  </sheetData>
  <sheetProtection password="934B" sheet="1" objects="1" scenarios="1"/>
  <mergeCells count="53">
    <mergeCell ref="F53:G55"/>
    <mergeCell ref="D9:F9"/>
    <mergeCell ref="C22:D22"/>
    <mergeCell ref="B44:C44"/>
    <mergeCell ref="B37:G37"/>
    <mergeCell ref="B36:F36"/>
    <mergeCell ref="B42:C43"/>
    <mergeCell ref="A24:E24"/>
    <mergeCell ref="A25:F25"/>
    <mergeCell ref="A26:F26"/>
    <mergeCell ref="A27:F27"/>
    <mergeCell ref="A28:F28"/>
    <mergeCell ref="A29:F29"/>
    <mergeCell ref="A30:F30"/>
    <mergeCell ref="A31:F31"/>
    <mergeCell ref="A15:E15"/>
    <mergeCell ref="A8:F8"/>
    <mergeCell ref="A10:F10"/>
    <mergeCell ref="A9:B9"/>
    <mergeCell ref="A11:F11"/>
    <mergeCell ref="A14:F14"/>
    <mergeCell ref="A12:E12"/>
    <mergeCell ref="A13:F13"/>
    <mergeCell ref="A1:G1"/>
    <mergeCell ref="A2:G2"/>
    <mergeCell ref="A3:B3"/>
    <mergeCell ref="A4:A5"/>
    <mergeCell ref="A6:A7"/>
    <mergeCell ref="C3:E3"/>
    <mergeCell ref="C6:C7"/>
    <mergeCell ref="D6:D7"/>
    <mergeCell ref="E6:E7"/>
    <mergeCell ref="F6:F7"/>
    <mergeCell ref="G6:G7"/>
    <mergeCell ref="A16:E16"/>
    <mergeCell ref="A17:E17"/>
    <mergeCell ref="A18:E18"/>
    <mergeCell ref="A19:E19"/>
    <mergeCell ref="A20:E20"/>
    <mergeCell ref="A21:E21"/>
    <mergeCell ref="A23:E23"/>
    <mergeCell ref="A32:F32"/>
    <mergeCell ref="A33:F33"/>
    <mergeCell ref="A34:E34"/>
    <mergeCell ref="A35:F35"/>
    <mergeCell ref="A36:A44"/>
    <mergeCell ref="A50:G50"/>
    <mergeCell ref="A45:E45"/>
    <mergeCell ref="A46:G46"/>
    <mergeCell ref="A47:G47"/>
    <mergeCell ref="A48:G48"/>
    <mergeCell ref="A49:G49"/>
    <mergeCell ref="F45:G45"/>
  </mergeCells>
  <dataValidations count="7">
    <dataValidation type="whole" operator="lessThanOrEqual" allowBlank="1" showInputMessage="1" showErrorMessage="1" error="MAX AMOUNT DEDUCTIBLE U/S TTA IS 40000 RS ONLY." sqref="F21 F23">
      <formula1>40000</formula1>
    </dataValidation>
    <dataValidation type="whole" operator="lessThanOrEqual" allowBlank="1" showInputMessage="1" showErrorMessage="1" error="DEDUCTION U/S 80 D CANT BE EXCEED THAN 25000" sqref="F19">
      <formula1>25000</formula1>
    </dataValidation>
    <dataValidation type="whole" operator="lessThanOrEqual" allowBlank="1" showInputMessage="1" showErrorMessage="1" error="DEUCTION U/S 24 CANT BE EXCEED THAN 200000" sqref="F18">
      <formula1>200000</formula1>
    </dataValidation>
    <dataValidation type="whole" operator="lessThanOrEqual" allowBlank="1" showInputMessage="1" showErrorMessage="1" error="DEDUCTION UNDER SECTION 80C,CCC AND CCD CANT BE EXCEED THAN 150000" sqref="F15">
      <formula1>150000</formula1>
    </dataValidation>
    <dataValidation type="list" allowBlank="1" showInputMessage="1" showErrorMessage="1" sqref="C9">
      <formula1>"BEFORE JULY,AFTER JUNE,NOT APPLICABLE "</formula1>
    </dataValidation>
    <dataValidation type="list" allowBlank="1" showInputMessage="1" showErrorMessage="1" sqref="E22">
      <formula1>"ONE,THREE,FIVE"</formula1>
    </dataValidation>
    <dataValidation type="whole" allowBlank="1" showInputMessage="1" showErrorMessage="1" error="MAX AMOUNT DEDUCTIBLE U/S TTA IS 40000 RS ONLY." sqref="F22">
      <formula1>0</formula1>
      <formula2>1000000</formula2>
    </dataValidation>
  </dataValidations>
  <hyperlinks>
    <hyperlink ref="A28" r:id="rId1"/>
  </hyperlinks>
  <pageMargins left="0.70866141732283472" right="0.11811023622047245" top="0.15748031496062992" bottom="0.15748031496062992" header="0" footer="0"/>
  <pageSetup scale="90" orientation="portrait" r:id="rId2"/>
  <drawing r:id="rId3"/>
  <legacyDrawing r:id="rId4"/>
</worksheet>
</file>

<file path=xl/worksheets/sheet3.xml><?xml version="1.0" encoding="utf-8"?>
<worksheet xmlns="http://schemas.openxmlformats.org/spreadsheetml/2006/main" xmlns:r="http://schemas.openxmlformats.org/officeDocument/2006/relationships">
  <dimension ref="A1:IV51"/>
  <sheetViews>
    <sheetView workbookViewId="0">
      <selection activeCell="V16" sqref="V16"/>
    </sheetView>
  </sheetViews>
  <sheetFormatPr defaultColWidth="0" defaultRowHeight="15" zeroHeight="1"/>
  <cols>
    <col min="1" max="1" width="1.85546875" customWidth="1"/>
    <col min="2" max="2" width="5.28515625" hidden="1" customWidth="1"/>
    <col min="3" max="3" width="54.7109375" hidden="1" customWidth="1"/>
    <col min="4" max="5" width="21.7109375" hidden="1" customWidth="1"/>
    <col min="6" max="6" width="4.140625" hidden="1" customWidth="1"/>
    <col min="7" max="8" width="8.85546875" customWidth="1"/>
    <col min="9" max="9" width="24.42578125" customWidth="1"/>
    <col min="10" max="10" width="20.5703125" customWidth="1"/>
    <col min="11" max="11" width="17" customWidth="1"/>
    <col min="12" max="12" width="20" customWidth="1"/>
    <col min="13" max="13" width="2.5703125" customWidth="1"/>
    <col min="14" max="14" width="16.85546875" customWidth="1"/>
    <col min="15" max="15" width="13.85546875" customWidth="1"/>
    <col min="16" max="16" width="17.42578125" customWidth="1"/>
    <col min="17" max="17" width="17.140625" customWidth="1"/>
    <col min="18" max="18" width="12.7109375" customWidth="1"/>
    <col min="19" max="19" width="8.85546875" customWidth="1"/>
    <col min="20" max="20" width="12.28515625" customWidth="1"/>
    <col min="21" max="21" width="11.7109375" customWidth="1"/>
    <col min="22" max="22" width="9.7109375" customWidth="1"/>
    <col min="23" max="255" width="8.85546875" customWidth="1"/>
    <col min="256" max="256" width="6.7109375" customWidth="1"/>
    <col min="257" max="16384" width="8.85546875" hidden="1"/>
  </cols>
  <sheetData>
    <row r="1" spans="1:22" ht="52.15" customHeight="1">
      <c r="A1" s="1"/>
      <c r="B1" s="1"/>
      <c r="C1" s="1"/>
      <c r="D1" s="1"/>
      <c r="E1" s="1"/>
      <c r="F1" s="1"/>
      <c r="I1">
        <f>'tax-calculator'!L12</f>
        <v>68067</v>
      </c>
    </row>
    <row r="2" spans="1:22" ht="3.6" customHeight="1">
      <c r="A2" s="1"/>
      <c r="F2" s="1"/>
    </row>
    <row r="3" spans="1:22" ht="22.9" customHeight="1">
      <c r="A3" s="1"/>
      <c r="B3" s="108" t="s">
        <v>0</v>
      </c>
      <c r="C3" s="108"/>
      <c r="D3" s="108"/>
      <c r="E3" s="108"/>
      <c r="F3" s="1"/>
      <c r="G3" s="2" t="s">
        <v>1</v>
      </c>
    </row>
    <row r="4" spans="1:22" ht="41.45" customHeight="1">
      <c r="A4" s="1"/>
      <c r="B4" s="3"/>
      <c r="C4" s="109"/>
      <c r="D4" s="109"/>
      <c r="E4" s="4" t="s">
        <v>1</v>
      </c>
      <c r="F4" s="1"/>
      <c r="G4" s="2" t="s">
        <v>2</v>
      </c>
    </row>
    <row r="5" spans="1:22" ht="3.6" customHeight="1">
      <c r="A5" s="1"/>
      <c r="B5" s="110"/>
      <c r="C5" s="110"/>
      <c r="D5" s="110"/>
      <c r="E5" s="110"/>
      <c r="F5" s="1"/>
      <c r="G5" s="2" t="s">
        <v>3</v>
      </c>
    </row>
    <row r="6" spans="1:22" ht="15.75">
      <c r="A6" s="5"/>
      <c r="B6" s="6" t="s">
        <v>4</v>
      </c>
      <c r="C6" s="7" t="s">
        <v>5</v>
      </c>
      <c r="D6" s="8"/>
      <c r="E6" s="9">
        <f>'TDS CALCULATIONS '!G11</f>
        <v>953780</v>
      </c>
      <c r="F6" s="5"/>
      <c r="G6" s="2"/>
    </row>
    <row r="7" spans="1:22" ht="33" customHeight="1">
      <c r="A7" s="5"/>
      <c r="B7" s="10" t="s">
        <v>6</v>
      </c>
      <c r="C7" s="11" t="s">
        <v>7</v>
      </c>
      <c r="D7" s="12"/>
      <c r="E7" s="13" t="s">
        <v>8</v>
      </c>
      <c r="F7" s="5"/>
      <c r="G7" s="2"/>
      <c r="I7" s="2" t="s">
        <v>9</v>
      </c>
      <c r="J7" s="2">
        <f>E27</f>
        <v>953780</v>
      </c>
      <c r="K7" s="2"/>
      <c r="L7" s="2"/>
      <c r="M7" s="2"/>
      <c r="O7" s="2"/>
      <c r="Q7" t="s">
        <v>10</v>
      </c>
      <c r="R7" t="s">
        <v>11</v>
      </c>
      <c r="S7" s="14" t="s">
        <v>12</v>
      </c>
      <c r="T7" t="s">
        <v>13</v>
      </c>
      <c r="U7" t="s">
        <v>11</v>
      </c>
      <c r="V7" s="14" t="s">
        <v>12</v>
      </c>
    </row>
    <row r="8" spans="1:22" ht="15.75">
      <c r="A8" s="5"/>
      <c r="B8" s="15">
        <v>1</v>
      </c>
      <c r="C8" s="16"/>
      <c r="D8" s="17"/>
      <c r="E8" s="18"/>
      <c r="F8" s="5"/>
      <c r="G8" s="2"/>
      <c r="I8" s="2" t="s">
        <v>14</v>
      </c>
      <c r="J8" s="19">
        <f>E6-(E11+E17)</f>
        <v>953780</v>
      </c>
      <c r="K8" s="2"/>
      <c r="L8" s="2"/>
      <c r="M8" s="2"/>
      <c r="N8" s="2" t="s">
        <v>1</v>
      </c>
      <c r="O8" s="2"/>
      <c r="Q8">
        <f>J11</f>
        <v>100756.00000000001</v>
      </c>
      <c r="R8">
        <f t="shared" ref="R8:R10" si="0">IF($J$7&gt;500000,0,Q8)</f>
        <v>0</v>
      </c>
      <c r="S8" s="14">
        <f t="shared" ref="S8:S10" si="1">Q8-R8</f>
        <v>100756.00000000001</v>
      </c>
      <c r="T8">
        <f>J12</f>
        <v>68067</v>
      </c>
      <c r="U8">
        <f t="shared" ref="U8:U10" si="2">IF($J$8&gt;500000,0,T8)</f>
        <v>0</v>
      </c>
      <c r="V8" s="14">
        <f t="shared" ref="V8:V10" si="3">T8-U8</f>
        <v>68067</v>
      </c>
    </row>
    <row r="9" spans="1:22" ht="15.75">
      <c r="A9" s="5"/>
      <c r="B9" s="15">
        <v>2</v>
      </c>
      <c r="C9" s="16"/>
      <c r="D9" s="17"/>
      <c r="E9" s="18"/>
      <c r="F9" s="5"/>
      <c r="G9" s="2"/>
      <c r="I9" s="20"/>
      <c r="J9" s="20"/>
      <c r="K9" s="20"/>
      <c r="L9" s="20"/>
      <c r="M9" s="2"/>
      <c r="N9" s="2" t="s">
        <v>2</v>
      </c>
      <c r="O9" s="2"/>
      <c r="Q9">
        <f>K11</f>
        <v>90756</v>
      </c>
      <c r="R9">
        <f t="shared" si="0"/>
        <v>0</v>
      </c>
      <c r="S9" s="14">
        <f t="shared" si="1"/>
        <v>90756</v>
      </c>
      <c r="T9">
        <f>K12</f>
        <v>68067</v>
      </c>
      <c r="U9">
        <f t="shared" si="2"/>
        <v>0</v>
      </c>
      <c r="V9" s="14">
        <f t="shared" si="3"/>
        <v>68067</v>
      </c>
    </row>
    <row r="10" spans="1:22" ht="15.75">
      <c r="A10" s="5"/>
      <c r="B10" s="15">
        <v>3</v>
      </c>
      <c r="C10" s="16"/>
      <c r="D10" s="17"/>
      <c r="E10" s="18"/>
      <c r="F10" s="5"/>
      <c r="G10" s="2"/>
      <c r="I10" s="21"/>
      <c r="J10" s="22" t="s">
        <v>15</v>
      </c>
      <c r="K10" s="22" t="s">
        <v>16</v>
      </c>
      <c r="L10" s="22" t="s">
        <v>17</v>
      </c>
      <c r="M10" s="2"/>
      <c r="N10" s="2" t="s">
        <v>3</v>
      </c>
      <c r="O10" s="2"/>
      <c r="Q10">
        <f>L11</f>
        <v>103256.00000000001</v>
      </c>
      <c r="R10">
        <f t="shared" si="0"/>
        <v>0</v>
      </c>
      <c r="S10" s="14">
        <f t="shared" si="1"/>
        <v>103256.00000000001</v>
      </c>
      <c r="T10">
        <f>L12</f>
        <v>68067</v>
      </c>
      <c r="U10">
        <f t="shared" si="2"/>
        <v>0</v>
      </c>
      <c r="V10" s="14">
        <f t="shared" si="3"/>
        <v>68067</v>
      </c>
    </row>
    <row r="11" spans="1:22" ht="15.75">
      <c r="A11" s="5"/>
      <c r="B11" s="15">
        <f t="shared" ref="B11:B26" si="4">B10+1</f>
        <v>4</v>
      </c>
      <c r="C11" s="16"/>
      <c r="D11" s="17"/>
      <c r="E11" s="18"/>
      <c r="F11" s="5"/>
      <c r="G11" s="2"/>
      <c r="I11" s="21" t="s">
        <v>18</v>
      </c>
      <c r="J11" s="21">
        <f>SUMPRODUCT(--(J7&gt;(J30:J32)), (J7-(J30:J32)), (L31:L33))</f>
        <v>100756.00000000001</v>
      </c>
      <c r="K11" s="21">
        <f>SUMPRODUCT(--(J7&gt;(J38:J39)), (J7-(J38:J39)), (L39:L40))</f>
        <v>90756</v>
      </c>
      <c r="L11" s="21">
        <f>SUMPRODUCT(--(J7&gt;(J20:J22)), (J7-(J20:J22)), (L21:L23))</f>
        <v>103256.00000000001</v>
      </c>
      <c r="M11" s="2"/>
      <c r="N11" s="2"/>
      <c r="O11" s="2"/>
    </row>
    <row r="12" spans="1:22" ht="15.75">
      <c r="A12" s="5"/>
      <c r="B12" s="15">
        <f t="shared" si="4"/>
        <v>5</v>
      </c>
      <c r="C12" s="16"/>
      <c r="D12" s="17"/>
      <c r="E12" s="18"/>
      <c r="F12" s="5"/>
      <c r="G12" s="2"/>
      <c r="I12" s="21" t="s">
        <v>19</v>
      </c>
      <c r="J12" s="21">
        <f>SUMPRODUCT(--(J8&gt;(O20:O25)), (J8-(O20:O25)), (Q21:Q26))</f>
        <v>68067</v>
      </c>
      <c r="K12" s="21">
        <f>SUMPRODUCT(--(J8&gt;(O20:O25)), (J8-(O20:O25)), (Q21:Q26))</f>
        <v>68067</v>
      </c>
      <c r="L12" s="21">
        <f>SUMPRODUCT(--(J8&gt;(O20:O25)), (J8-(O20:O25)), (Q21:Q26))</f>
        <v>68067</v>
      </c>
      <c r="M12" s="2"/>
      <c r="N12" s="23" t="s">
        <v>20</v>
      </c>
      <c r="O12" s="2"/>
      <c r="Q12" t="s">
        <v>10</v>
      </c>
      <c r="R12" t="s">
        <v>13</v>
      </c>
    </row>
    <row r="13" spans="1:22" ht="15.75">
      <c r="A13" s="5"/>
      <c r="B13" s="15">
        <f t="shared" si="4"/>
        <v>6</v>
      </c>
      <c r="C13" s="16"/>
      <c r="D13" s="17"/>
      <c r="E13" s="18"/>
      <c r="F13" s="5"/>
      <c r="G13" s="2"/>
      <c r="I13" s="2"/>
      <c r="J13" s="2"/>
      <c r="K13" s="2"/>
      <c r="L13" s="2"/>
      <c r="M13" s="2"/>
      <c r="N13" s="2" t="str">
        <f>E4</f>
        <v>Senior Citizen (60 Yrs or more)</v>
      </c>
      <c r="O13" s="2"/>
      <c r="Q13">
        <f>VLOOKUP(E4,N8:S10,6,0)</f>
        <v>100756.00000000001</v>
      </c>
      <c r="R13">
        <f>VLOOKUP(E4,N8:V10,9,0)</f>
        <v>68067</v>
      </c>
    </row>
    <row r="14" spans="1:22" ht="15.75">
      <c r="A14" s="5"/>
      <c r="B14" s="15">
        <f t="shared" si="4"/>
        <v>7</v>
      </c>
      <c r="C14" s="16"/>
      <c r="D14" s="17"/>
      <c r="E14" s="18"/>
      <c r="F14" s="5"/>
      <c r="G14" s="2"/>
      <c r="I14" s="2"/>
      <c r="J14" s="2"/>
      <c r="K14" s="2"/>
      <c r="L14" s="2"/>
      <c r="M14" s="2"/>
      <c r="N14" s="2"/>
      <c r="O14" s="2"/>
    </row>
    <row r="15" spans="1:22" ht="15.75">
      <c r="A15" s="5"/>
      <c r="B15" s="15">
        <f t="shared" si="4"/>
        <v>8</v>
      </c>
      <c r="C15" s="16"/>
      <c r="D15" s="17"/>
      <c r="E15" s="18"/>
      <c r="F15" s="5"/>
      <c r="G15" s="2"/>
      <c r="I15" s="2"/>
      <c r="J15" s="2"/>
      <c r="K15" s="2"/>
      <c r="L15" s="2"/>
      <c r="M15" s="2"/>
      <c r="N15" s="2"/>
      <c r="O15" s="2"/>
    </row>
    <row r="16" spans="1:22" ht="45.6" customHeight="1">
      <c r="A16" s="5"/>
      <c r="B16" s="15">
        <f t="shared" si="4"/>
        <v>9</v>
      </c>
      <c r="C16" s="111"/>
      <c r="D16" s="111"/>
      <c r="E16" s="18"/>
      <c r="F16" s="5"/>
      <c r="G16" s="2"/>
      <c r="I16" s="2"/>
      <c r="J16" s="2"/>
      <c r="K16" s="2"/>
      <c r="L16" s="2"/>
      <c r="M16" s="2"/>
      <c r="N16" s="2"/>
      <c r="O16" s="2"/>
    </row>
    <row r="17" spans="1:17" ht="31.9" customHeight="1">
      <c r="A17" s="5"/>
      <c r="B17" s="15">
        <f t="shared" si="4"/>
        <v>10</v>
      </c>
      <c r="C17" s="25"/>
      <c r="D17" s="24"/>
      <c r="E17" s="18"/>
      <c r="F17" s="5"/>
      <c r="G17" s="2"/>
      <c r="I17" s="2"/>
      <c r="J17" s="2"/>
      <c r="K17" s="2"/>
      <c r="L17" s="2"/>
      <c r="M17" s="2"/>
      <c r="N17" s="2"/>
      <c r="O17" s="2"/>
    </row>
    <row r="18" spans="1:17" ht="15.75">
      <c r="A18" s="5"/>
      <c r="B18" s="15">
        <f t="shared" si="4"/>
        <v>11</v>
      </c>
      <c r="C18" s="16"/>
      <c r="D18" s="17"/>
      <c r="E18" s="18"/>
      <c r="F18" s="5"/>
      <c r="G18" s="2"/>
      <c r="I18" s="2" t="s">
        <v>21</v>
      </c>
      <c r="J18" s="2"/>
      <c r="K18" s="2"/>
      <c r="L18" s="2"/>
      <c r="M18" s="2"/>
      <c r="N18" s="2" t="s">
        <v>22</v>
      </c>
      <c r="O18" s="2"/>
    </row>
    <row r="19" spans="1:17" ht="15.75">
      <c r="A19" s="5"/>
      <c r="B19" s="15">
        <f t="shared" si="4"/>
        <v>12</v>
      </c>
      <c r="C19" s="16"/>
      <c r="D19" s="17"/>
      <c r="E19" s="18"/>
      <c r="F19" s="5"/>
      <c r="G19" s="2"/>
      <c r="I19" s="26" t="s">
        <v>23</v>
      </c>
      <c r="J19" s="26" t="s">
        <v>24</v>
      </c>
      <c r="K19" s="26" t="s">
        <v>25</v>
      </c>
      <c r="L19" s="26" t="s">
        <v>26</v>
      </c>
      <c r="M19" s="2"/>
      <c r="N19" s="26" t="s">
        <v>23</v>
      </c>
      <c r="O19" s="26" t="s">
        <v>24</v>
      </c>
      <c r="P19" s="26" t="s">
        <v>25</v>
      </c>
      <c r="Q19" s="26" t="s">
        <v>26</v>
      </c>
    </row>
    <row r="20" spans="1:17" ht="15.75">
      <c r="A20" s="5"/>
      <c r="B20" s="15">
        <f t="shared" si="4"/>
        <v>13</v>
      </c>
      <c r="C20" s="16"/>
      <c r="D20" s="17"/>
      <c r="E20" s="18"/>
      <c r="F20" s="5"/>
      <c r="G20" s="2"/>
      <c r="I20" s="27">
        <v>0</v>
      </c>
      <c r="J20" s="27">
        <v>250000</v>
      </c>
      <c r="K20" s="28">
        <v>0</v>
      </c>
      <c r="L20" s="28"/>
      <c r="M20" s="2"/>
      <c r="N20" s="27">
        <v>0</v>
      </c>
      <c r="O20" s="27">
        <v>250000</v>
      </c>
      <c r="P20" s="28">
        <v>0</v>
      </c>
      <c r="Q20" s="28"/>
    </row>
    <row r="21" spans="1:17" ht="15.75">
      <c r="A21" s="5"/>
      <c r="B21" s="15">
        <f t="shared" si="4"/>
        <v>14</v>
      </c>
      <c r="C21" s="16"/>
      <c r="D21" s="17"/>
      <c r="E21" s="18"/>
      <c r="F21" s="5"/>
      <c r="G21" s="2"/>
      <c r="I21" s="27">
        <v>250001</v>
      </c>
      <c r="J21" s="27">
        <v>500000</v>
      </c>
      <c r="K21" s="28">
        <v>0.05</v>
      </c>
      <c r="L21" s="28">
        <f t="shared" ref="L21:L23" si="5">K21-K20</f>
        <v>0.05</v>
      </c>
      <c r="M21" s="2"/>
      <c r="N21" s="27">
        <v>250001</v>
      </c>
      <c r="O21" s="27">
        <v>500000</v>
      </c>
      <c r="P21" s="28">
        <v>0.05</v>
      </c>
      <c r="Q21" s="28">
        <f t="shared" ref="Q21:Q26" si="6">P21-P20</f>
        <v>0.05</v>
      </c>
    </row>
    <row r="22" spans="1:17" ht="15.75">
      <c r="A22" s="5"/>
      <c r="B22" s="15">
        <f t="shared" si="4"/>
        <v>15</v>
      </c>
      <c r="C22" s="16"/>
      <c r="D22" s="17"/>
      <c r="E22" s="18"/>
      <c r="F22" s="5"/>
      <c r="G22" s="2"/>
      <c r="I22" s="27">
        <v>500001</v>
      </c>
      <c r="J22" s="27">
        <v>1000000</v>
      </c>
      <c r="K22" s="28">
        <v>0.2</v>
      </c>
      <c r="L22" s="28">
        <f t="shared" si="5"/>
        <v>0.15000000000000002</v>
      </c>
      <c r="M22" s="2"/>
      <c r="N22" s="27">
        <v>500001</v>
      </c>
      <c r="O22" s="27">
        <v>750000</v>
      </c>
      <c r="P22" s="28">
        <v>0.1</v>
      </c>
      <c r="Q22" s="28">
        <f t="shared" si="6"/>
        <v>0.05</v>
      </c>
    </row>
    <row r="23" spans="1:17" ht="15.75">
      <c r="A23" s="5"/>
      <c r="B23" s="15">
        <f t="shared" si="4"/>
        <v>16</v>
      </c>
      <c r="C23" s="16"/>
      <c r="D23" s="17"/>
      <c r="E23" s="18"/>
      <c r="F23" s="5"/>
      <c r="G23" s="2"/>
      <c r="I23" s="29" t="s">
        <v>27</v>
      </c>
      <c r="J23" s="29"/>
      <c r="K23" s="30">
        <v>0.30000000000000004</v>
      </c>
      <c r="L23" s="30">
        <f t="shared" si="5"/>
        <v>0.10000000000000003</v>
      </c>
      <c r="M23" s="2"/>
      <c r="N23" s="27">
        <v>750001</v>
      </c>
      <c r="O23" s="27">
        <v>1000000</v>
      </c>
      <c r="P23" s="28">
        <v>0.15</v>
      </c>
      <c r="Q23" s="28">
        <f t="shared" si="6"/>
        <v>4.9999999999999989E-2</v>
      </c>
    </row>
    <row r="24" spans="1:17" ht="15.75">
      <c r="A24" s="5"/>
      <c r="B24" s="15">
        <f t="shared" si="4"/>
        <v>17</v>
      </c>
      <c r="C24" s="16"/>
      <c r="D24" s="17"/>
      <c r="E24" s="18"/>
      <c r="F24" s="5"/>
      <c r="G24" s="2"/>
      <c r="I24" s="31"/>
      <c r="J24" s="31"/>
      <c r="K24" s="31"/>
      <c r="L24" s="31"/>
      <c r="M24" s="2"/>
      <c r="N24" s="27">
        <v>1000001</v>
      </c>
      <c r="O24" s="27">
        <v>1250000</v>
      </c>
      <c r="P24" s="28">
        <v>0.2</v>
      </c>
      <c r="Q24" s="28">
        <f t="shared" si="6"/>
        <v>5.0000000000000017E-2</v>
      </c>
    </row>
    <row r="25" spans="1:17" ht="15.75">
      <c r="A25" s="5"/>
      <c r="B25" s="15">
        <f t="shared" si="4"/>
        <v>18</v>
      </c>
      <c r="C25" s="16"/>
      <c r="D25" s="17"/>
      <c r="E25" s="18"/>
      <c r="F25" s="5"/>
      <c r="G25" s="2"/>
      <c r="I25" s="31"/>
      <c r="J25" s="31"/>
      <c r="K25" s="31"/>
      <c r="L25" s="31"/>
      <c r="M25" s="2"/>
      <c r="N25" s="27">
        <v>1250001</v>
      </c>
      <c r="O25" s="27">
        <v>1500000</v>
      </c>
      <c r="P25" s="28">
        <v>0.25</v>
      </c>
      <c r="Q25" s="28">
        <f t="shared" si="6"/>
        <v>4.9999999999999989E-2</v>
      </c>
    </row>
    <row r="26" spans="1:17" ht="15.75">
      <c r="A26" s="5"/>
      <c r="B26" s="32">
        <f t="shared" si="4"/>
        <v>19</v>
      </c>
      <c r="C26" s="33"/>
      <c r="D26" s="34"/>
      <c r="E26" s="35"/>
      <c r="F26" s="5"/>
      <c r="G26" s="2"/>
      <c r="I26" s="36" t="s">
        <v>28</v>
      </c>
      <c r="J26" s="31"/>
      <c r="K26" s="31"/>
      <c r="L26" s="31"/>
      <c r="M26" s="2"/>
      <c r="N26" s="27" t="s">
        <v>29</v>
      </c>
      <c r="O26" s="27"/>
      <c r="P26" s="28">
        <v>0.30000000000000004</v>
      </c>
      <c r="Q26" s="28">
        <f t="shared" si="6"/>
        <v>5.0000000000000044E-2</v>
      </c>
    </row>
    <row r="27" spans="1:17" ht="15.75">
      <c r="A27" s="5"/>
      <c r="B27" s="37" t="s">
        <v>30</v>
      </c>
      <c r="C27" s="38" t="s">
        <v>31</v>
      </c>
      <c r="D27" s="8"/>
      <c r="E27" s="39">
        <f>E6-SUM(E8:E26)</f>
        <v>953780</v>
      </c>
      <c r="F27" s="5"/>
      <c r="G27" s="2"/>
      <c r="I27" s="26" t="s">
        <v>23</v>
      </c>
      <c r="J27" s="26" t="s">
        <v>24</v>
      </c>
      <c r="K27" s="26" t="s">
        <v>25</v>
      </c>
      <c r="L27" s="26" t="s">
        <v>26</v>
      </c>
      <c r="M27" s="2"/>
      <c r="N27" s="2"/>
      <c r="O27" s="2"/>
    </row>
    <row r="28" spans="1:17" ht="10.15" customHeight="1">
      <c r="A28" s="5"/>
      <c r="B28" s="40"/>
      <c r="C28" s="41"/>
      <c r="D28" s="42"/>
      <c r="E28" s="43"/>
      <c r="F28" s="5"/>
      <c r="G28" s="2"/>
      <c r="I28" s="27"/>
      <c r="J28" s="27"/>
      <c r="K28" s="27"/>
      <c r="L28" s="27"/>
      <c r="M28" s="2"/>
      <c r="N28" s="2"/>
      <c r="O28" s="2"/>
    </row>
    <row r="29" spans="1:17" ht="15.75">
      <c r="A29" s="5"/>
      <c r="B29" s="40"/>
      <c r="C29" s="41" t="s">
        <v>32</v>
      </c>
      <c r="D29" s="42"/>
      <c r="E29" s="44">
        <f>Q13</f>
        <v>100756.00000000001</v>
      </c>
      <c r="F29" s="5"/>
      <c r="G29" s="2"/>
      <c r="I29" s="27"/>
      <c r="J29" s="27"/>
      <c r="K29" s="27"/>
      <c r="L29" s="27"/>
      <c r="M29" s="2"/>
      <c r="N29" s="2"/>
      <c r="O29" s="2"/>
    </row>
    <row r="30" spans="1:17" ht="16.5" customHeight="1">
      <c r="A30" s="1"/>
      <c r="C30" s="45" t="s">
        <v>33</v>
      </c>
      <c r="E30" s="44">
        <f>R13</f>
        <v>68067</v>
      </c>
      <c r="F30" s="1"/>
      <c r="I30" s="27">
        <v>0</v>
      </c>
      <c r="J30" s="27">
        <v>300000</v>
      </c>
      <c r="K30" s="28">
        <v>0</v>
      </c>
      <c r="L30" s="28"/>
    </row>
    <row r="31" spans="1:17" ht="106.15" customHeight="1">
      <c r="A31" s="1"/>
      <c r="B31" s="112" t="s">
        <v>34</v>
      </c>
      <c r="C31" s="112"/>
      <c r="D31" s="112"/>
      <c r="E31" s="112"/>
      <c r="F31" s="46"/>
      <c r="G31" s="47"/>
      <c r="I31" s="27">
        <v>300001</v>
      </c>
      <c r="J31" s="27">
        <v>500000</v>
      </c>
      <c r="K31" s="28">
        <v>0.05</v>
      </c>
      <c r="L31" s="28">
        <f t="shared" ref="L31:L33" si="7">K31-K30</f>
        <v>0.05</v>
      </c>
    </row>
    <row r="32" spans="1:17">
      <c r="A32" s="1"/>
      <c r="F32" s="1"/>
      <c r="I32" s="27">
        <v>500001</v>
      </c>
      <c r="J32" s="27">
        <v>1000000</v>
      </c>
      <c r="K32" s="28">
        <v>0.2</v>
      </c>
      <c r="L32" s="28">
        <f t="shared" si="7"/>
        <v>0.15000000000000002</v>
      </c>
    </row>
    <row r="33" spans="1:12">
      <c r="A33" s="1"/>
      <c r="B33" s="1"/>
      <c r="C33" s="1"/>
      <c r="D33" s="1"/>
      <c r="E33" s="1"/>
      <c r="F33" s="1"/>
      <c r="I33" s="29" t="s">
        <v>27</v>
      </c>
      <c r="J33" s="29"/>
      <c r="K33" s="30">
        <v>0.30000000000000004</v>
      </c>
      <c r="L33" s="30">
        <f t="shared" si="7"/>
        <v>0.10000000000000003</v>
      </c>
    </row>
    <row r="34" spans="1:12" hidden="1">
      <c r="I34" s="31"/>
      <c r="J34" s="31"/>
      <c r="K34" s="31"/>
      <c r="L34" s="31"/>
    </row>
    <row r="35" spans="1:12" hidden="1">
      <c r="I35" s="31"/>
      <c r="J35" s="31"/>
      <c r="K35" s="31"/>
      <c r="L35" s="31"/>
    </row>
    <row r="36" spans="1:12" hidden="1">
      <c r="I36" s="36" t="s">
        <v>28</v>
      </c>
      <c r="J36" s="31"/>
      <c r="K36" s="31"/>
      <c r="L36" s="31"/>
    </row>
    <row r="37" spans="1:12" hidden="1">
      <c r="I37" s="26" t="s">
        <v>23</v>
      </c>
      <c r="J37" s="26" t="s">
        <v>24</v>
      </c>
      <c r="K37" s="26" t="s">
        <v>25</v>
      </c>
      <c r="L37" s="26" t="s">
        <v>26</v>
      </c>
    </row>
    <row r="38" spans="1:12" hidden="1">
      <c r="I38" s="27">
        <v>0</v>
      </c>
      <c r="J38" s="27">
        <v>500000</v>
      </c>
      <c r="K38" s="28">
        <v>0</v>
      </c>
      <c r="L38" s="28"/>
    </row>
    <row r="39" spans="1:12" hidden="1">
      <c r="I39" s="27">
        <v>500001</v>
      </c>
      <c r="J39" s="27">
        <v>1000000</v>
      </c>
      <c r="K39" s="28">
        <v>0.2</v>
      </c>
      <c r="L39" s="28">
        <f t="shared" ref="L39:L40" si="8">K39-K38</f>
        <v>0.2</v>
      </c>
    </row>
    <row r="40" spans="1:12" hidden="1">
      <c r="I40" s="29" t="s">
        <v>27</v>
      </c>
      <c r="J40" s="29"/>
      <c r="K40" s="30">
        <v>0.30000000000000004</v>
      </c>
      <c r="L40" s="30">
        <f t="shared" si="8"/>
        <v>0.10000000000000003</v>
      </c>
    </row>
    <row r="51"/>
  </sheetData>
  <sheetProtection password="CC77" sheet="1" objects="1" scenarios="1"/>
  <mergeCells count="5">
    <mergeCell ref="B3:E3"/>
    <mergeCell ref="C4:D4"/>
    <mergeCell ref="B5:E5"/>
    <mergeCell ref="C16:D16"/>
    <mergeCell ref="B31:E31"/>
  </mergeCells>
  <dataValidations count="1">
    <dataValidation type="list" allowBlank="1" showInputMessage="1" showErrorMessage="1" sqref="E4">
      <formula1>category</formula1>
      <formula2>0</formula2>
    </dataValidation>
  </dataValidations>
  <pageMargins left="0.7" right="0.7" top="0.75" bottom="0.75" header="0.51180555555555551" footer="0.51180555555555551"/>
  <pageSetup firstPageNumber="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dimension ref="A1:I10"/>
  <sheetViews>
    <sheetView workbookViewId="0">
      <selection activeCell="B18" sqref="B18"/>
    </sheetView>
  </sheetViews>
  <sheetFormatPr defaultRowHeight="15"/>
  <cols>
    <col min="9" max="9" width="92" customWidth="1"/>
  </cols>
  <sheetData>
    <row r="1" spans="1:9" ht="36">
      <c r="A1" s="113" t="s">
        <v>72</v>
      </c>
      <c r="B1" s="113"/>
      <c r="C1" s="113"/>
      <c r="D1" s="113"/>
      <c r="E1" s="113"/>
      <c r="F1" s="113"/>
      <c r="G1" s="113"/>
      <c r="H1" s="113"/>
      <c r="I1" s="113"/>
    </row>
    <row r="2" spans="1:9" ht="26.25">
      <c r="A2" s="139" t="s">
        <v>75</v>
      </c>
      <c r="B2" s="139"/>
      <c r="C2" s="139"/>
      <c r="D2" s="139"/>
      <c r="E2" s="139"/>
      <c r="F2" s="139"/>
      <c r="G2" s="139"/>
      <c r="H2" s="139"/>
      <c r="I2" s="139"/>
    </row>
    <row r="3" spans="1:9" ht="26.25">
      <c r="A3" s="142" t="s">
        <v>98</v>
      </c>
      <c r="B3" s="142"/>
      <c r="C3" s="142"/>
      <c r="D3" s="142"/>
      <c r="E3" s="142"/>
      <c r="F3" s="142"/>
      <c r="G3" s="142"/>
      <c r="H3" s="142"/>
      <c r="I3" s="142"/>
    </row>
    <row r="4" spans="1:9" ht="26.25">
      <c r="A4" s="140" t="s">
        <v>99</v>
      </c>
      <c r="B4" s="140"/>
      <c r="C4" s="140"/>
      <c r="D4" s="140"/>
      <c r="E4" s="140"/>
      <c r="F4" s="140"/>
      <c r="G4" s="140"/>
      <c r="H4" s="140"/>
      <c r="I4" s="140"/>
    </row>
    <row r="5" spans="1:9" ht="26.25">
      <c r="A5" s="141" t="s">
        <v>100</v>
      </c>
      <c r="B5" s="141"/>
      <c r="C5" s="141"/>
      <c r="D5" s="141"/>
      <c r="E5" s="141"/>
      <c r="F5" s="141"/>
      <c r="G5" s="141"/>
      <c r="H5" s="141"/>
      <c r="I5" s="141"/>
    </row>
    <row r="6" spans="1:9" ht="26.25">
      <c r="A6" s="142" t="s">
        <v>101</v>
      </c>
      <c r="B6" s="142"/>
      <c r="C6" s="142"/>
      <c r="D6" s="142"/>
      <c r="E6" s="142"/>
      <c r="F6" s="142"/>
      <c r="G6" s="142"/>
      <c r="H6" s="142"/>
      <c r="I6" s="142"/>
    </row>
    <row r="7" spans="1:9" ht="26.25">
      <c r="A7" s="143" t="s">
        <v>102</v>
      </c>
      <c r="B7" s="143"/>
      <c r="C7" s="143"/>
      <c r="D7" s="143"/>
      <c r="E7" s="143"/>
      <c r="F7" s="143"/>
      <c r="G7" s="143"/>
      <c r="H7" s="143"/>
      <c r="I7" s="143"/>
    </row>
    <row r="8" spans="1:9" ht="29.25" customHeight="1">
      <c r="A8" s="144" t="s">
        <v>103</v>
      </c>
      <c r="B8" s="144"/>
      <c r="C8" s="144"/>
      <c r="D8" s="144"/>
      <c r="E8" s="144"/>
      <c r="F8" s="144"/>
      <c r="G8" s="144"/>
      <c r="H8" s="144"/>
      <c r="I8" s="144"/>
    </row>
    <row r="9" spans="1:9" ht="26.25">
      <c r="A9" s="145" t="s">
        <v>104</v>
      </c>
      <c r="B9" s="145"/>
      <c r="C9" s="145"/>
      <c r="D9" s="145"/>
      <c r="E9" s="145"/>
      <c r="F9" s="145"/>
      <c r="G9" s="145"/>
      <c r="H9" s="145"/>
      <c r="I9" s="145"/>
    </row>
    <row r="10" spans="1:9">
      <c r="A10" s="99"/>
      <c r="B10" s="99"/>
      <c r="C10" s="99"/>
      <c r="D10" s="99"/>
      <c r="E10" s="99"/>
      <c r="F10" s="99"/>
      <c r="G10" s="99"/>
      <c r="H10" s="99"/>
      <c r="I10" s="99"/>
    </row>
  </sheetData>
  <mergeCells count="10">
    <mergeCell ref="A7:I7"/>
    <mergeCell ref="A8:I8"/>
    <mergeCell ref="A9:I9"/>
    <mergeCell ref="A10:I10"/>
    <mergeCell ref="A1:I1"/>
    <mergeCell ref="A2:I2"/>
    <mergeCell ref="A3:I3"/>
    <mergeCell ref="A4:I4"/>
    <mergeCell ref="A5:I5"/>
    <mergeCell ref="A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Macro-disabled</vt:lpstr>
      <vt:lpstr>TDS CALCULATIONS </vt:lpstr>
      <vt:lpstr>tax-calculator</vt:lpstr>
      <vt:lpstr>how to use </vt:lpstr>
      <vt:lpstr>category</vt:lpstr>
      <vt:lpstr>'TDS CALCULATIONS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lohani</dc:creator>
  <cp:lastModifiedBy>HP</cp:lastModifiedBy>
  <cp:revision>0</cp:revision>
  <cp:lastPrinted>2021-07-20T01:55:31Z</cp:lastPrinted>
  <dcterms:created xsi:type="dcterms:W3CDTF">2020-02-02T04:09:35Z</dcterms:created>
  <dcterms:modified xsi:type="dcterms:W3CDTF">2021-07-20T02:17:54Z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