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मास्टर शीट " sheetId="4" r:id="rId1"/>
    <sheet name="वार्षिक वेतन विवरण  " sheetId="1" r:id="rId2"/>
    <sheet name="अन्य कटौती " sheetId="5" r:id="rId3"/>
    <sheet name="आयकर गणना " sheetId="2" r:id="rId4"/>
  </sheets>
  <definedNames>
    <definedName name="_xlnm.Print_Area" localSheetId="3">'आयकर गणना '!$A$1:$O$66</definedName>
  </definedNames>
  <calcPr calcId="124519"/>
</workbook>
</file>

<file path=xl/calcChain.xml><?xml version="1.0" encoding="utf-8"?>
<calcChain xmlns="http://schemas.openxmlformats.org/spreadsheetml/2006/main">
  <c r="O6" i="2"/>
  <c r="I19" i="5"/>
  <c r="W10" i="1"/>
  <c r="W11"/>
  <c r="W12"/>
  <c r="W13"/>
  <c r="W14"/>
  <c r="W15"/>
  <c r="W16"/>
  <c r="W17"/>
  <c r="W18"/>
  <c r="W19"/>
  <c r="W20"/>
  <c r="W21"/>
  <c r="W22"/>
  <c r="W23"/>
  <c r="W24"/>
  <c r="W9"/>
  <c r="V24"/>
  <c r="V10"/>
  <c r="V11"/>
  <c r="V12"/>
  <c r="V13"/>
  <c r="V14"/>
  <c r="V15"/>
  <c r="V16"/>
  <c r="V17"/>
  <c r="V18"/>
  <c r="V19"/>
  <c r="V20"/>
  <c r="V21"/>
  <c r="V22"/>
  <c r="V23"/>
  <c r="V9"/>
  <c r="T10"/>
  <c r="T11"/>
  <c r="T12"/>
  <c r="T13"/>
  <c r="T14"/>
  <c r="T15"/>
  <c r="T16"/>
  <c r="T17"/>
  <c r="T18"/>
  <c r="T19"/>
  <c r="T20"/>
  <c r="T21"/>
  <c r="T22"/>
  <c r="T23"/>
  <c r="T24"/>
  <c r="U10"/>
  <c r="U11"/>
  <c r="U12"/>
  <c r="U13"/>
  <c r="U14"/>
  <c r="U15"/>
  <c r="U16"/>
  <c r="U17"/>
  <c r="U18"/>
  <c r="U19"/>
  <c r="U20"/>
  <c r="U9"/>
  <c r="I9"/>
  <c r="T9"/>
  <c r="L10"/>
  <c r="L11"/>
  <c r="L12"/>
  <c r="L13"/>
  <c r="L14"/>
  <c r="L15"/>
  <c r="L16"/>
  <c r="L17"/>
  <c r="L18"/>
  <c r="L19"/>
  <c r="L20"/>
  <c r="L9"/>
  <c r="R20"/>
  <c r="R11"/>
  <c r="R12"/>
  <c r="R13" s="1"/>
  <c r="R14" s="1"/>
  <c r="R15" s="1"/>
  <c r="R16" s="1"/>
  <c r="R10"/>
  <c r="O11"/>
  <c r="O12" s="1"/>
  <c r="O13" s="1"/>
  <c r="O14" s="1"/>
  <c r="O15" s="1"/>
  <c r="O16" s="1"/>
  <c r="O17" s="1"/>
  <c r="O18" s="1"/>
  <c r="O19" s="1"/>
  <c r="O20" s="1"/>
  <c r="P11"/>
  <c r="P12" s="1"/>
  <c r="P13" s="1"/>
  <c r="P14" s="1"/>
  <c r="P15" s="1"/>
  <c r="P16" s="1"/>
  <c r="P17" s="1"/>
  <c r="P18" s="1"/>
  <c r="P19" s="1"/>
  <c r="P20" s="1"/>
  <c r="O10"/>
  <c r="P10"/>
  <c r="O60" i="2"/>
  <c r="O44"/>
  <c r="O43"/>
  <c r="O42"/>
  <c r="O41"/>
  <c r="O45" s="1"/>
  <c r="O40"/>
  <c r="O39"/>
  <c r="O38"/>
  <c r="O37"/>
  <c r="O34"/>
  <c r="I20" i="1"/>
  <c r="M30" i="2"/>
  <c r="M29"/>
  <c r="M28"/>
  <c r="M27"/>
  <c r="M26"/>
  <c r="M25"/>
  <c r="M24"/>
  <c r="M23"/>
  <c r="M22"/>
  <c r="G30"/>
  <c r="G29"/>
  <c r="G28"/>
  <c r="G27"/>
  <c r="G26"/>
  <c r="G25"/>
  <c r="G24"/>
  <c r="G23"/>
  <c r="I17"/>
  <c r="I16"/>
  <c r="E17"/>
  <c r="E16"/>
  <c r="O15"/>
  <c r="K14"/>
  <c r="I14"/>
  <c r="F14"/>
  <c r="K12"/>
  <c r="D14" s="1"/>
  <c r="K10"/>
  <c r="K9"/>
  <c r="O10" s="1"/>
  <c r="K8"/>
  <c r="C28" i="1"/>
  <c r="I3"/>
  <c r="I10"/>
  <c r="I11"/>
  <c r="I12"/>
  <c r="I13"/>
  <c r="I14"/>
  <c r="I15"/>
  <c r="I16"/>
  <c r="I17"/>
  <c r="I18"/>
  <c r="I19"/>
  <c r="R17" l="1"/>
  <c r="R18" s="1"/>
  <c r="R19" s="1"/>
  <c r="H63" i="2"/>
  <c r="E63"/>
  <c r="O17"/>
  <c r="K63" l="1"/>
  <c r="J63"/>
  <c r="O63" s="1"/>
  <c r="A1" l="1"/>
  <c r="B1" i="1"/>
  <c r="N3" i="2"/>
  <c r="C5" i="1"/>
  <c r="J3" i="2"/>
  <c r="S3" i="1"/>
  <c r="D3" i="2"/>
  <c r="W25" i="1"/>
  <c r="D25"/>
  <c r="E25"/>
  <c r="F25"/>
  <c r="G25"/>
  <c r="H25"/>
  <c r="I25"/>
  <c r="O5" i="2" s="1"/>
  <c r="J25" i="1"/>
  <c r="L25"/>
  <c r="M25"/>
  <c r="N25"/>
  <c r="O25"/>
  <c r="P25"/>
  <c r="Q25"/>
  <c r="R25"/>
  <c r="S25"/>
  <c r="T25"/>
  <c r="U25"/>
  <c r="V25"/>
  <c r="C25"/>
  <c r="Q9"/>
  <c r="Q10" s="1"/>
  <c r="Q11" s="1"/>
  <c r="Q12" s="1"/>
  <c r="Q13" s="1"/>
  <c r="Q14" s="1"/>
  <c r="Q15" s="1"/>
  <c r="Q16" s="1"/>
  <c r="Q17" s="1"/>
  <c r="Q18" s="1"/>
  <c r="Q19" s="1"/>
  <c r="Q20" s="1"/>
  <c r="M9"/>
  <c r="M10" s="1"/>
  <c r="M11" s="1"/>
  <c r="M12" s="1"/>
  <c r="M13" s="1"/>
  <c r="M14" s="1"/>
  <c r="M15" s="1"/>
  <c r="M16" s="1"/>
  <c r="M17" s="1"/>
  <c r="M18" s="1"/>
  <c r="M19" s="1"/>
  <c r="M20" s="1"/>
  <c r="G9"/>
  <c r="G10" s="1"/>
  <c r="G11" s="1"/>
  <c r="G12" s="1"/>
  <c r="G13" s="1"/>
  <c r="G14" s="1"/>
  <c r="G15" s="1"/>
  <c r="G16" s="1"/>
  <c r="G17" s="1"/>
  <c r="G18" s="1"/>
  <c r="G19" s="1"/>
  <c r="G20" s="1"/>
  <c r="H10"/>
  <c r="C9"/>
  <c r="C10" s="1"/>
  <c r="K21"/>
  <c r="K22"/>
  <c r="K23"/>
  <c r="K24"/>
  <c r="H11"/>
  <c r="H12"/>
  <c r="H13" s="1"/>
  <c r="H14" s="1"/>
  <c r="H15" s="1"/>
  <c r="H16" s="1"/>
  <c r="H17" s="1"/>
  <c r="H18" s="1"/>
  <c r="H19" s="1"/>
  <c r="H20" s="1"/>
  <c r="F11"/>
  <c r="F12" s="1"/>
  <c r="F13" s="1"/>
  <c r="F14" s="1"/>
  <c r="F15" s="1"/>
  <c r="F16" s="1"/>
  <c r="F17" s="1"/>
  <c r="F18" s="1"/>
  <c r="F19" s="1"/>
  <c r="F20" s="1"/>
  <c r="F10"/>
  <c r="T5"/>
  <c r="J5"/>
  <c r="O4"/>
  <c r="C4"/>
  <c r="C3"/>
  <c r="M21" i="2" l="1"/>
  <c r="M31" s="1"/>
  <c r="O32" s="1"/>
  <c r="O35" s="1"/>
  <c r="O46" s="1"/>
  <c r="O33"/>
  <c r="E9" i="1"/>
  <c r="K9" s="1"/>
  <c r="C11"/>
  <c r="E10"/>
  <c r="K10" s="1"/>
  <c r="W14" i="2" l="1"/>
  <c r="V12"/>
  <c r="C12" i="1"/>
  <c r="E11"/>
  <c r="K11" s="1"/>
  <c r="V15" i="2" l="1"/>
  <c r="V13"/>
  <c r="W15" s="1"/>
  <c r="V17" s="1"/>
  <c r="C13" i="1"/>
  <c r="E12"/>
  <c r="K12" s="1"/>
  <c r="E13" l="1"/>
  <c r="K13" s="1"/>
  <c r="C14"/>
  <c r="C15" l="1"/>
  <c r="E14"/>
  <c r="K14" s="1"/>
  <c r="C16" l="1"/>
  <c r="E15"/>
  <c r="K15" s="1"/>
  <c r="C17" l="1"/>
  <c r="E16"/>
  <c r="K16" s="1"/>
  <c r="C18" l="1"/>
  <c r="E17"/>
  <c r="K17" s="1"/>
  <c r="C19" l="1"/>
  <c r="E18"/>
  <c r="K18" s="1"/>
  <c r="C20" l="1"/>
  <c r="E19"/>
  <c r="K19" s="1"/>
  <c r="E20" l="1"/>
  <c r="K20" s="1"/>
  <c r="K25" l="1"/>
  <c r="O4" i="2" s="1"/>
  <c r="O7" s="1"/>
  <c r="O11" s="1"/>
  <c r="O16" s="1"/>
  <c r="O18" s="1"/>
  <c r="O47" s="1"/>
  <c r="O48" s="1"/>
  <c r="O54" l="1"/>
  <c r="O52"/>
  <c r="O53"/>
  <c r="O55" l="1"/>
  <c r="O56" s="1"/>
  <c r="O57" s="1"/>
  <c r="O58" l="1"/>
  <c r="O59" s="1"/>
  <c r="O61" s="1"/>
</calcChain>
</file>

<file path=xl/sharedStrings.xml><?xml version="1.0" encoding="utf-8"?>
<sst xmlns="http://schemas.openxmlformats.org/spreadsheetml/2006/main" count="315" uniqueCount="243">
  <si>
    <t>Month</t>
  </si>
  <si>
    <t>Detail of Payment</t>
  </si>
  <si>
    <t>Total Payment</t>
  </si>
  <si>
    <t>Detail of Deduction</t>
  </si>
  <si>
    <t>Total Deduction</t>
  </si>
  <si>
    <t>Basic Pay</t>
  </si>
  <si>
    <t xml:space="preserve">DA </t>
  </si>
  <si>
    <t>CA</t>
  </si>
  <si>
    <t>CCA</t>
  </si>
  <si>
    <t>HRA</t>
  </si>
  <si>
    <t>Other Payment</t>
  </si>
  <si>
    <t xml:space="preserve"> NPS</t>
  </si>
  <si>
    <t>GIS</t>
  </si>
  <si>
    <t>Recovery</t>
  </si>
  <si>
    <t>House Rent</t>
  </si>
  <si>
    <t>Advance</t>
  </si>
  <si>
    <t>Prof. Tax</t>
  </si>
  <si>
    <t>Income Tax</t>
  </si>
  <si>
    <t>Other Deduction</t>
  </si>
  <si>
    <t>Total</t>
  </si>
  <si>
    <t>DDO: (3202003099)</t>
  </si>
  <si>
    <t>Principal Govt. H.S.S.Agdal</t>
  </si>
  <si>
    <t>Dearness Pay</t>
  </si>
  <si>
    <t>Government Contribution for NPS</t>
  </si>
  <si>
    <t>Payment</t>
  </si>
  <si>
    <t>Payment in NPS Account by Govt</t>
  </si>
  <si>
    <t>Net Payment (Salary)</t>
  </si>
  <si>
    <t>District Rewa (MP)</t>
  </si>
  <si>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</si>
  <si>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</si>
  <si>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</si>
  <si>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</si>
  <si>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</si>
  <si>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UPPER MIDDLE TEACHER</t>
  </si>
  <si>
    <t>PAN :</t>
  </si>
  <si>
    <t>ADBPT5575H</t>
  </si>
  <si>
    <t>रु.</t>
  </si>
  <si>
    <t xml:space="preserve">सरकार द्वारा देय NPS  की राशि :- 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</si>
  <si>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</si>
  <si>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</si>
  <si>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</si>
  <si>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</si>
  <si>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</si>
  <si>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</si>
  <si>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</si>
  <si>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</si>
  <si>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</si>
  <si>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</si>
  <si>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</si>
  <si>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</si>
  <si>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</si>
  <si>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</si>
  <si>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</si>
  <si>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</si>
  <si>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</si>
  <si>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</si>
  <si>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</si>
  <si>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</si>
  <si>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</si>
  <si>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</si>
  <si>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</si>
  <si>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</si>
  <si>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 xml:space="preserve">Other AG Deducation 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</si>
  <si>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</si>
  <si>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</si>
  <si>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</si>
  <si>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</si>
  <si>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</si>
  <si>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</si>
  <si>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</si>
  <si>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</si>
  <si>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</si>
  <si>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</si>
  <si>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</si>
  <si>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</si>
  <si>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</si>
  <si>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</si>
  <si>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</si>
  <si>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सामान्य प्रावधायी निधि  (GPF)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</si>
  <si>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</si>
  <si>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</si>
  <si>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</si>
  <si>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</si>
  <si>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</si>
  <si>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</si>
  <si>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</si>
  <si>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</si>
  <si>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</si>
  <si>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अन्य जमाराशि (धारा 80 C के अंतर्गत) म्यूच्यूअल फण्ड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</si>
  <si>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</si>
  <si>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</si>
  <si>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</si>
  <si>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</si>
  <si>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</si>
  <si>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</si>
  <si>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</si>
  <si>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</si>
  <si>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</si>
  <si>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>Other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</si>
  <si>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</si>
  <si>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</si>
  <si>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</si>
  <si>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</si>
  <si>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</si>
  <si>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</si>
  <si>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</si>
  <si>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</si>
  <si>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</si>
  <si>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</si>
  <si>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</si>
  <si>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</si>
  <si>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</si>
  <si>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</si>
  <si>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</si>
  <si>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</si>
  <si>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</si>
  <si>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</si>
  <si>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</si>
  <si>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</si>
  <si>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</si>
  <si>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>Up to Rs. 2,50,000</t>
  </si>
  <si>
    <t>Up to Rs. 3,00,000</t>
  </si>
  <si>
    <t/>
  </si>
  <si>
    <t>2,50,001  to  5,00,000</t>
  </si>
  <si>
    <t>3,00,001 to 5,00,000</t>
  </si>
  <si>
    <t>Up to Rs. 5,00,000</t>
  </si>
  <si>
    <t>0%</t>
  </si>
  <si>
    <t>5,00,001 to 10,00,000</t>
  </si>
  <si>
    <t>20%</t>
  </si>
  <si>
    <t>Above  10,00,000</t>
  </si>
  <si>
    <t>30%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</si>
  <si>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</si>
  <si>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</si>
  <si>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</si>
  <si>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</si>
  <si>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</si>
  <si>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</si>
  <si>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</si>
  <si>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</si>
  <si>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</si>
  <si>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</si>
  <si>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>Income Tax Refundable</t>
  </si>
  <si>
    <t xml:space="preserve">हस्ताक्षर कार्मिक </t>
  </si>
  <si>
    <t>2021-2022</t>
  </si>
  <si>
    <t>2022-2023)</t>
  </si>
  <si>
    <t xml:space="preserve">Bonds से प्राप्त ब्याज </t>
  </si>
  <si>
    <t>योग  ( i से xxi )</t>
  </si>
  <si>
    <r>
      <t xml:space="preserve">पेंशन योजना में योगदान  </t>
    </r>
    <r>
      <rPr>
        <b/>
        <sz val="8"/>
        <rFont val="Calibri"/>
        <family val="2"/>
        <scheme val="minor"/>
      </rPr>
      <t>ECPF धारा  80ccd(1)</t>
    </r>
    <r>
      <rPr>
        <sz val="8"/>
        <rFont val="Calibri"/>
        <family val="2"/>
        <scheme val="minor"/>
      </rPr>
      <t xml:space="preserve">
</t>
    </r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</si>
  <si>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</si>
  <si>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</si>
  <si>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>MASTER DATA</t>
  </si>
  <si>
    <t>L-13</t>
  </si>
  <si>
    <t>51XXXXXXXXX96</t>
  </si>
  <si>
    <t>SI Number :</t>
  </si>
  <si>
    <t>74XXX7</t>
  </si>
  <si>
    <t xml:space="preserve">Rate of HRA : </t>
  </si>
  <si>
    <t>NO</t>
  </si>
  <si>
    <t xml:space="preserve"> </t>
  </si>
  <si>
    <t>GPF / NPS :</t>
  </si>
  <si>
    <r>
      <rPr>
        <b/>
        <sz val="11"/>
        <rFont val="Calibri"/>
        <family val="2"/>
        <scheme val="minor"/>
      </rPr>
      <t xml:space="preserve">क्या आप </t>
    </r>
    <r>
      <rPr>
        <b/>
        <sz val="12"/>
        <rFont val="Calibri"/>
        <family val="2"/>
        <scheme val="minor"/>
      </rPr>
      <t xml:space="preserve"> </t>
    </r>
    <r>
      <rPr>
        <b/>
        <u/>
        <sz val="14"/>
        <color rgb="FFFF0000"/>
        <rFont val="Calibri"/>
        <family val="2"/>
        <scheme val="minor"/>
      </rPr>
      <t xml:space="preserve">NPS </t>
    </r>
    <r>
      <rPr>
        <b/>
        <sz val="11"/>
        <rFont val="Calibri"/>
        <family val="2"/>
        <scheme val="minor"/>
      </rPr>
      <t>कार्मिक है :</t>
    </r>
  </si>
  <si>
    <t>01 March 2021 Basic Pay  (मूल वेतन) :</t>
  </si>
  <si>
    <r>
      <t>PAN No.</t>
    </r>
    <r>
      <rPr>
        <b/>
        <sz val="14"/>
        <rFont val="DevLys 010"/>
      </rPr>
      <t xml:space="preserve"> </t>
    </r>
    <r>
      <rPr>
        <b/>
        <sz val="14"/>
        <rFont val="Calibri"/>
        <family val="2"/>
        <scheme val="minor"/>
      </rPr>
      <t>:</t>
    </r>
  </si>
  <si>
    <t xml:space="preserve">पे लेवल : </t>
  </si>
  <si>
    <t>कार्मिक का नाम :</t>
  </si>
  <si>
    <t xml:space="preserve">कार्यालय का नाम : </t>
  </si>
  <si>
    <t>जीपीएफ की मासिक कटौती :</t>
  </si>
  <si>
    <t>CCA  @ Per Month :</t>
  </si>
  <si>
    <t>Unique ID :</t>
  </si>
  <si>
    <t>BI2307</t>
  </si>
  <si>
    <t>बैंक खाता संख्या :</t>
  </si>
  <si>
    <t>Designation :</t>
  </si>
  <si>
    <t>School/Office Name :</t>
  </si>
  <si>
    <t>Payment Authority/DDO :</t>
  </si>
  <si>
    <t xml:space="preserve">Name : </t>
  </si>
  <si>
    <t xml:space="preserve">PAN No : </t>
  </si>
  <si>
    <t>PRAN No:</t>
  </si>
  <si>
    <t xml:space="preserve"> Govt. Higher Secondary School, Agdal Distt, Rewa (M.P.)</t>
  </si>
  <si>
    <t>Annual Pay Detail Year 2021-22</t>
  </si>
  <si>
    <t>Bank A/C No.  :</t>
  </si>
  <si>
    <t>GIS :</t>
  </si>
  <si>
    <t>Prof. Tax  :</t>
  </si>
  <si>
    <t>Sr. No.</t>
  </si>
  <si>
    <t>HEERALAL JAT</t>
  </si>
  <si>
    <t>H.S.S.Agdal (3202003099) M.P.</t>
  </si>
  <si>
    <t>Income Tax Deducation Per Month :</t>
  </si>
  <si>
    <t>Arrears</t>
  </si>
  <si>
    <t>NPS</t>
  </si>
  <si>
    <t>https://www.youtube.com/watch?v=NWwIhkhEUoc</t>
  </si>
  <si>
    <t xml:space="preserve">अधिक जानकारी के लिए ऊपर Youtube video का लिंक दिया गया है।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</si>
  <si>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</si>
  <si>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</si>
  <si>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</si>
  <si>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</si>
  <si>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</si>
  <si>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</si>
  <si>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</si>
  <si>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</si>
  <si>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</si>
  <si>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</si>
  <si>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</si>
  <si>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</si>
  <si>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</si>
  <si>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</si>
  <si>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</si>
  <si>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</si>
  <si>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</si>
  <si>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</si>
  <si>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</si>
  <si>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</si>
  <si>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</si>
  <si>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</si>
  <si>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</si>
  <si>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</si>
  <si>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</si>
  <si>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</si>
  <si>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</si>
  <si>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</si>
  <si>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</si>
  <si>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t xml:space="preserve">16.  राष्ट्रीय बचत पत्र स्कीम (NSS) </t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</si>
  <si>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</si>
  <si>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</si>
  <si>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</si>
  <si>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t xml:space="preserve">18.   Bonds से ब्याज </t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</si>
  <si>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</si>
  <si>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19.   अन्य आय :</t>
  </si>
  <si>
    <t>38. राहत धारा  89 के तहत  (अगर छुट लेनी है तो राशि लिखे )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</si>
  <si>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</si>
  <si>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</si>
  <si>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>)  50,000 (अधिकतम )</t>
    </r>
  </si>
  <si>
    <t>9. जीवन बीमा प्रीमियम  (जो वेतन से नहीं काटा गया है ) LIC</t>
  </si>
  <si>
    <t>Signature of Employee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</si>
  <si>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</si>
  <si>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H</t>
  </si>
  <si>
    <t>Section US 80CCD (1B)
Yes/No</t>
  </si>
  <si>
    <t>No</t>
  </si>
  <si>
    <t>शिक्षा एवं चिकित्सा उपकर  4% (आयकर पर )</t>
  </si>
  <si>
    <t xml:space="preserve">सितम्बर  2021
तक कुल राशि </t>
  </si>
  <si>
    <t xml:space="preserve">अक्टूम्बर 21 से दिसम्बर 21
तक कुल राशि </t>
  </si>
  <si>
    <t xml:space="preserve">जनवरी 2022
राशि </t>
  </si>
  <si>
    <t xml:space="preserve">फरवरी 2022
राशि </t>
  </si>
  <si>
    <t xml:space="preserve">आय : वर्ष  2021-22  में प्राप्त कुल आय ( कर योग्य मूल्यों सहित ) सरकारी NPS के अतिरिक्त </t>
  </si>
  <si>
    <t>MP@IT2022</t>
  </si>
  <si>
    <t>Excel Sheet Password :-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</si>
</sst>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;[Red]0"/>
  </numFmts>
  <fonts count="7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4"/>
      <name val="DevLys 010"/>
    </font>
    <font>
      <b/>
      <sz val="13"/>
      <name val="Times New Roman"/>
      <family val="1"/>
    </font>
    <font>
      <b/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 val="double"/>
      <sz val="22"/>
      <name val="Cambria"/>
      <family val="1"/>
      <scheme val="maj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rgb="FF002060"/>
      <name val="Cambria"/>
      <family val="1"/>
      <scheme val="major"/>
    </font>
    <font>
      <u/>
      <sz val="11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4"/>
      <color rgb="FFFFC000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name val="Kruti Dev 010"/>
    </font>
    <font>
      <b/>
      <sz val="10"/>
      <color rgb="FF400E3C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thin">
        <color rgb="FFB2B2B2"/>
      </left>
      <right style="thin">
        <color rgb="FFB2B2B2"/>
      </right>
      <top style="medium">
        <color rgb="FFC00000"/>
      </top>
      <bottom style="thin">
        <color rgb="FFB2B2B2"/>
      </bottom>
      <diagonal/>
    </border>
    <border>
      <left style="thin">
        <color rgb="FFB2B2B2"/>
      </left>
      <right style="medium">
        <color rgb="FFC00000"/>
      </right>
      <top style="medium">
        <color rgb="FFC00000"/>
      </top>
      <bottom style="thin">
        <color rgb="FFB2B2B2"/>
      </bottom>
      <diagonal/>
    </border>
    <border>
      <left style="medium">
        <color rgb="FFC00000"/>
      </left>
      <right/>
      <top/>
      <bottom/>
      <diagonal/>
    </border>
    <border>
      <left style="thin">
        <color rgb="FFB2B2B2"/>
      </left>
      <right style="medium">
        <color rgb="FFC00000"/>
      </right>
      <top style="thin">
        <color rgb="FFB2B2B2"/>
      </top>
      <bottom style="thin">
        <color rgb="FFB2B2B2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rgb="FFB2B2B2"/>
      </left>
      <right style="medium">
        <color rgb="FFC00000"/>
      </right>
      <top style="thin">
        <color rgb="FFB2B2B2"/>
      </top>
      <bottom style="medium">
        <color rgb="FFC0000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00B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3" fillId="0" borderId="0">
      <protection locked="0"/>
    </xf>
    <xf numFmtId="0" fontId="13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12" fillId="3" borderId="21" applyNumberFormat="0" applyFon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</cellStyleXfs>
  <cellXfs count="275">
    <xf numFmtId="0" fontId="0" fillId="0" borderId="0" xfId="0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justify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15" fillId="0" borderId="0" xfId="1" applyFont="1" applyBorder="1" applyAlignment="1" applyProtection="1">
      <alignment vertical="center"/>
      <protection hidden="1"/>
    </xf>
    <xf numFmtId="0" fontId="18" fillId="0" borderId="3" xfId="2" applyFont="1" applyBorder="1" applyAlignment="1" applyProtection="1">
      <alignment horizontal="center" vertical="center"/>
      <protection hidden="1"/>
    </xf>
    <xf numFmtId="0" fontId="18" fillId="0" borderId="4" xfId="2" applyFont="1" applyBorder="1" applyAlignment="1" applyProtection="1">
      <alignment horizontal="center" vertical="center"/>
      <protection hidden="1"/>
    </xf>
    <xf numFmtId="0" fontId="20" fillId="0" borderId="4" xfId="2" applyFont="1" applyBorder="1" applyAlignment="1" applyProtection="1">
      <alignment horizontal="right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hidden="1"/>
    </xf>
    <xf numFmtId="1" fontId="21" fillId="0" borderId="8" xfId="2" applyNumberFormat="1" applyFont="1" applyBorder="1" applyAlignment="1" applyProtection="1">
      <alignment horizontal="righ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0" fontId="19" fillId="0" borderId="7" xfId="2" applyFont="1" applyBorder="1" applyAlignment="1" applyProtection="1">
      <alignment horizontal="center" vertical="center"/>
      <protection hidden="1"/>
    </xf>
    <xf numFmtId="0" fontId="19" fillId="0" borderId="10" xfId="2" applyFont="1" applyBorder="1" applyAlignment="1" applyProtection="1">
      <alignment horizontal="center" vertical="center"/>
      <protection hidden="1"/>
    </xf>
    <xf numFmtId="1" fontId="27" fillId="0" borderId="8" xfId="2" applyNumberFormat="1" applyFont="1" applyBorder="1" applyAlignment="1" applyProtection="1">
      <alignment horizontal="right" vertical="center"/>
      <protection locked="0"/>
    </xf>
    <xf numFmtId="1" fontId="19" fillId="0" borderId="8" xfId="2" applyNumberFormat="1" applyFont="1" applyBorder="1" applyAlignment="1" applyProtection="1">
      <alignment horizontal="right" vertical="center"/>
      <protection hidden="1"/>
    </xf>
    <xf numFmtId="0" fontId="23" fillId="0" borderId="7" xfId="2" applyFont="1" applyBorder="1" applyAlignment="1" applyProtection="1">
      <alignment horizontal="right" vertical="center"/>
      <protection hidden="1"/>
    </xf>
    <xf numFmtId="0" fontId="21" fillId="0" borderId="8" xfId="2" applyFont="1" applyBorder="1" applyAlignment="1" applyProtection="1">
      <alignment vertical="center"/>
      <protection hidden="1"/>
    </xf>
    <xf numFmtId="9" fontId="18" fillId="0" borderId="7" xfId="2" applyNumberFormat="1" applyFont="1" applyBorder="1" applyAlignment="1" applyProtection="1">
      <alignment horizontal="center" vertical="center"/>
      <protection hidden="1"/>
    </xf>
    <xf numFmtId="0" fontId="18" fillId="0" borderId="7" xfId="2" applyFont="1" applyBorder="1" applyAlignment="1" applyProtection="1">
      <alignment horizontal="center" vertical="center"/>
      <protection hidden="1"/>
    </xf>
    <xf numFmtId="1" fontId="23" fillId="0" borderId="7" xfId="4" applyNumberFormat="1" applyFont="1" applyBorder="1" applyAlignment="1" applyProtection="1">
      <alignment horizontal="left" vertical="center"/>
      <protection hidden="1"/>
    </xf>
    <xf numFmtId="0" fontId="30" fillId="0" borderId="0" xfId="2" applyFont="1" applyBorder="1" applyAlignment="1" applyProtection="1">
      <alignment horizontal="right" vertical="center"/>
      <protection hidden="1"/>
    </xf>
    <xf numFmtId="0" fontId="29" fillId="0" borderId="0" xfId="2" applyFont="1" applyBorder="1" applyAlignment="1" applyProtection="1">
      <alignment horizontal="right" vertical="center"/>
      <protection hidden="1"/>
    </xf>
    <xf numFmtId="0" fontId="22" fillId="0" borderId="0" xfId="2" applyFont="1" applyBorder="1" applyAlignment="1" applyProtection="1">
      <alignment horizontal="right" vertical="center"/>
      <protection hidden="1"/>
    </xf>
    <xf numFmtId="2" fontId="22" fillId="0" borderId="0" xfId="2" applyNumberFormat="1" applyFont="1" applyBorder="1" applyAlignment="1" applyProtection="1">
      <alignment horizontal="right" vertical="center"/>
      <protection hidden="1"/>
    </xf>
    <xf numFmtId="0" fontId="31" fillId="0" borderId="0" xfId="1" applyFont="1" applyBorder="1" applyAlignment="1" applyProtection="1">
      <protection hidden="1"/>
    </xf>
    <xf numFmtId="0" fontId="32" fillId="0" borderId="0" xfId="1" applyFont="1" applyBorder="1" applyAlignment="1" applyProtection="1">
      <protection hidden="1"/>
    </xf>
    <xf numFmtId="0" fontId="6" fillId="0" borderId="0" xfId="1" applyFont="1" applyBorder="1" applyAlignment="1" applyProtection="1">
      <protection hidden="1"/>
    </xf>
    <xf numFmtId="0" fontId="33" fillId="0" borderId="0" xfId="1" applyFont="1" applyBorder="1" applyAlignment="1" applyProtection="1">
      <alignment horizontal="center" vertical="center"/>
      <protection hidden="1"/>
    </xf>
    <xf numFmtId="0" fontId="6" fillId="0" borderId="0" xfId="4" applyFont="1" applyAlignment="1" applyProtection="1">
      <protection hidden="1"/>
    </xf>
    <xf numFmtId="0" fontId="34" fillId="0" borderId="8" xfId="2" applyFont="1" applyBorder="1" applyAlignment="1" applyProtection="1">
      <alignment horizontal="center" vertical="center" wrapText="1"/>
      <protection hidden="1"/>
    </xf>
    <xf numFmtId="1" fontId="25" fillId="0" borderId="7" xfId="2" applyNumberFormat="1" applyFont="1" applyBorder="1" applyAlignment="1" applyProtection="1">
      <alignment horizontal="right" vertical="center"/>
      <protection hidden="1"/>
    </xf>
    <xf numFmtId="1" fontId="28" fillId="0" borderId="8" xfId="2" applyNumberFormat="1" applyFont="1" applyBorder="1" applyAlignment="1" applyProtection="1">
      <alignment horizontal="right" vertical="center"/>
      <protection hidden="1"/>
    </xf>
    <xf numFmtId="0" fontId="36" fillId="0" borderId="7" xfId="2" applyFont="1" applyBorder="1" applyAlignment="1" applyProtection="1">
      <alignment horizontal="center"/>
      <protection hidden="1"/>
    </xf>
    <xf numFmtId="1" fontId="36" fillId="0" borderId="7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37" fillId="0" borderId="20" xfId="2" applyNumberFormat="1" applyFont="1" applyBorder="1" applyAlignment="1" applyProtection="1">
      <alignment horizontal="right" vertical="center"/>
      <protection hidden="1"/>
    </xf>
    <xf numFmtId="1" fontId="24" fillId="0" borderId="8" xfId="2" applyNumberFormat="1" applyFont="1" applyBorder="1" applyAlignment="1" applyProtection="1">
      <alignment vertical="center"/>
      <protection hidden="1"/>
    </xf>
    <xf numFmtId="0" fontId="25" fillId="0" borderId="13" xfId="2" applyFont="1" applyBorder="1" applyAlignment="1" applyProtection="1">
      <alignment horizontal="center" vertical="center"/>
      <protection hidden="1"/>
    </xf>
    <xf numFmtId="0" fontId="40" fillId="3" borderId="21" xfId="5" applyFont="1" applyBorder="1" applyAlignment="1" applyProtection="1">
      <alignment horizontal="left" vertical="center" indent="1"/>
      <protection locked="0"/>
    </xf>
    <xf numFmtId="3" fontId="40" fillId="3" borderId="21" xfId="5" applyNumberFormat="1" applyFont="1" applyBorder="1" applyAlignment="1" applyProtection="1">
      <alignment horizontal="left" vertical="center" indent="1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1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4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41" fillId="3" borderId="21" xfId="5" applyFont="1" applyBorder="1" applyAlignment="1" applyProtection="1">
      <alignment vertical="center"/>
      <protection locked="0"/>
    </xf>
    <xf numFmtId="0" fontId="50" fillId="0" borderId="0" xfId="0" applyFont="1" applyAlignment="1">
      <alignment horizontal="center" vertical="center"/>
    </xf>
    <xf numFmtId="0" fontId="36" fillId="0" borderId="7" xfId="2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0" fillId="0" borderId="18" xfId="2" applyFont="1" applyBorder="1" applyAlignment="1" applyProtection="1">
      <alignment horizontal="right" vertical="center"/>
      <protection hidden="1"/>
    </xf>
    <xf numFmtId="0" fontId="30" fillId="0" borderId="19" xfId="2" applyFont="1" applyBorder="1" applyAlignment="1" applyProtection="1">
      <alignment horizontal="right" vertical="center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2" fontId="18" fillId="0" borderId="7" xfId="0" applyNumberFormat="1" applyFont="1" applyBorder="1" applyAlignment="1" applyProtection="1">
      <alignment horizontal="left"/>
      <protection hidden="1"/>
    </xf>
    <xf numFmtId="2" fontId="23" fillId="0" borderId="10" xfId="0" applyNumberFormat="1" applyFont="1" applyBorder="1" applyAlignment="1" applyProtection="1">
      <alignment horizontal="right" vertical="center"/>
      <protection hidden="1"/>
    </xf>
    <xf numFmtId="2" fontId="23" fillId="0" borderId="11" xfId="0" applyNumberFormat="1" applyFont="1" applyBorder="1" applyAlignment="1" applyProtection="1">
      <alignment horizontal="right" vertical="center"/>
      <protection hidden="1"/>
    </xf>
    <xf numFmtId="2" fontId="23" fillId="0" borderId="12" xfId="0" applyNumberFormat="1" applyFont="1" applyBorder="1" applyAlignment="1" applyProtection="1">
      <alignment horizontal="right" vertical="center"/>
      <protection hidden="1"/>
    </xf>
    <xf numFmtId="0" fontId="25" fillId="0" borderId="7" xfId="2" applyFont="1" applyBorder="1" applyAlignment="1" applyProtection="1">
      <alignment horizontal="left" vertical="center"/>
      <protection hidden="1"/>
    </xf>
    <xf numFmtId="0" fontId="23" fillId="0" borderId="7" xfId="2" applyFont="1" applyBorder="1" applyAlignment="1" applyProtection="1">
      <alignment horizontal="left" vertical="center"/>
      <protection hidden="1"/>
    </xf>
    <xf numFmtId="0" fontId="25" fillId="0" borderId="13" xfId="2" applyFont="1" applyBorder="1" applyAlignment="1" applyProtection="1">
      <alignment horizontal="center" vertical="top"/>
      <protection hidden="1"/>
    </xf>
    <xf numFmtId="0" fontId="23" fillId="0" borderId="7" xfId="2" applyFont="1" applyBorder="1" applyAlignment="1" applyProtection="1">
      <alignment horizontal="center" vertical="center" wrapText="1"/>
      <protection hidden="1"/>
    </xf>
    <xf numFmtId="0" fontId="36" fillId="0" borderId="7" xfId="2" applyFont="1" applyBorder="1" applyAlignment="1" applyProtection="1">
      <alignment horizontal="center" vertical="center" wrapText="1"/>
      <protection hidden="1"/>
    </xf>
    <xf numFmtId="0" fontId="36" fillId="0" borderId="10" xfId="2" applyFont="1" applyBorder="1" applyAlignment="1" applyProtection="1">
      <alignment horizontal="center" vertical="center" wrapText="1"/>
      <protection hidden="1"/>
    </xf>
    <xf numFmtId="0" fontId="36" fillId="0" borderId="12" xfId="2" applyFont="1" applyBorder="1" applyAlignment="1" applyProtection="1">
      <alignment horizontal="center" vertical="center" wrapText="1"/>
      <protection hidden="1"/>
    </xf>
    <xf numFmtId="0" fontId="25" fillId="0" borderId="7" xfId="2" applyFont="1" applyBorder="1" applyAlignment="1" applyProtection="1">
      <alignment horizontal="left"/>
      <protection hidden="1"/>
    </xf>
    <xf numFmtId="0" fontId="25" fillId="0" borderId="8" xfId="2" applyFont="1" applyBorder="1" applyAlignment="1" applyProtection="1">
      <alignment horizontal="left"/>
      <protection hidden="1"/>
    </xf>
    <xf numFmtId="0" fontId="23" fillId="0" borderId="7" xfId="2" applyFont="1" applyBorder="1" applyAlignment="1" applyProtection="1">
      <alignment horizontal="center" vertical="center"/>
      <protection hidden="1"/>
    </xf>
    <xf numFmtId="0" fontId="34" fillId="0" borderId="7" xfId="2" applyFont="1" applyBorder="1" applyAlignment="1" applyProtection="1">
      <alignment horizontal="center" vertical="center"/>
      <protection hidden="1"/>
    </xf>
    <xf numFmtId="0" fontId="18" fillId="0" borderId="7" xfId="2" applyFont="1" applyBorder="1" applyAlignment="1" applyProtection="1">
      <alignment horizontal="center"/>
      <protection hidden="1"/>
    </xf>
    <xf numFmtId="2" fontId="29" fillId="0" borderId="7" xfId="0" applyNumberFormat="1" applyFont="1" applyBorder="1" applyAlignment="1" applyProtection="1">
      <alignment horizontal="left"/>
      <protection hidden="1"/>
    </xf>
    <xf numFmtId="2" fontId="23" fillId="0" borderId="7" xfId="0" applyNumberFormat="1" applyFont="1" applyBorder="1" applyAlignment="1" applyProtection="1">
      <alignment horizontal="left"/>
      <protection hidden="1"/>
    </xf>
    <xf numFmtId="0" fontId="12" fillId="0" borderId="7" xfId="2" applyFont="1" applyBorder="1" applyAlignment="1" applyProtection="1">
      <alignment horizontal="center"/>
      <protection hidden="1"/>
    </xf>
    <xf numFmtId="0" fontId="18" fillId="0" borderId="7" xfId="2" applyFont="1" applyBorder="1" applyAlignment="1" applyProtection="1">
      <alignment horizontal="left"/>
      <protection hidden="1"/>
    </xf>
    <xf numFmtId="0" fontId="23" fillId="0" borderId="7" xfId="2" applyFont="1" applyBorder="1" applyAlignment="1" applyProtection="1">
      <alignment horizontal="left"/>
      <protection hidden="1"/>
    </xf>
    <xf numFmtId="0" fontId="18" fillId="0" borderId="7" xfId="2" applyFont="1" applyBorder="1" applyAlignment="1" applyProtection="1">
      <alignment horizontal="left" vertical="center" wrapText="1"/>
      <protection hidden="1"/>
    </xf>
    <xf numFmtId="0" fontId="18" fillId="0" borderId="7" xfId="2" applyFont="1" applyBorder="1" applyAlignment="1" applyProtection="1">
      <alignment horizontal="right" vertical="center"/>
      <protection hidden="1"/>
    </xf>
    <xf numFmtId="0" fontId="29" fillId="0" borderId="7" xfId="2" applyFont="1" applyBorder="1" applyAlignment="1" applyProtection="1">
      <alignment horizontal="left" vertical="center"/>
      <protection hidden="1"/>
    </xf>
    <xf numFmtId="0" fontId="29" fillId="0" borderId="8" xfId="2" applyFont="1" applyBorder="1" applyAlignment="1" applyProtection="1">
      <alignment horizontal="left" vertical="center"/>
      <protection hidden="1"/>
    </xf>
    <xf numFmtId="0" fontId="36" fillId="0" borderId="7" xfId="2" applyFont="1" applyFill="1" applyBorder="1" applyAlignment="1" applyProtection="1">
      <alignment horizontal="left"/>
      <protection hidden="1"/>
    </xf>
    <xf numFmtId="0" fontId="36" fillId="0" borderId="7" xfId="2" applyFont="1" applyBorder="1" applyAlignment="1" applyProtection="1">
      <alignment horizontal="left"/>
      <protection hidden="1"/>
    </xf>
    <xf numFmtId="0" fontId="23" fillId="0" borderId="7" xfId="2" applyFont="1" applyBorder="1" applyAlignment="1" applyProtection="1">
      <alignment horizontal="right" vertical="center"/>
      <protection hidden="1"/>
    </xf>
    <xf numFmtId="0" fontId="36" fillId="0" borderId="7" xfId="2" applyFont="1" applyFill="1" applyBorder="1" applyAlignment="1" applyProtection="1">
      <protection hidden="1"/>
    </xf>
    <xf numFmtId="0" fontId="29" fillId="0" borderId="10" xfId="2" applyFont="1" applyBorder="1" applyAlignment="1" applyProtection="1">
      <alignment horizontal="left" vertical="center"/>
      <protection hidden="1"/>
    </xf>
    <xf numFmtId="0" fontId="29" fillId="0" borderId="11" xfId="2" applyFont="1" applyBorder="1" applyAlignment="1" applyProtection="1">
      <alignment horizontal="left" vertical="center"/>
      <protection hidden="1"/>
    </xf>
    <xf numFmtId="0" fontId="29" fillId="0" borderId="12" xfId="2" applyFont="1" applyBorder="1" applyAlignment="1" applyProtection="1">
      <alignment horizontal="left" vertical="center"/>
      <protection hidden="1"/>
    </xf>
    <xf numFmtId="0" fontId="36" fillId="0" borderId="8" xfId="2" applyFont="1" applyBorder="1" applyAlignment="1" applyProtection="1">
      <alignment horizontal="left"/>
      <protection hidden="1"/>
    </xf>
    <xf numFmtId="0" fontId="36" fillId="0" borderId="10" xfId="2" applyFont="1" applyFill="1" applyBorder="1" applyAlignment="1" applyProtection="1">
      <alignment horizontal="left" vertical="center" wrapText="1"/>
      <protection hidden="1"/>
    </xf>
    <xf numFmtId="0" fontId="36" fillId="0" borderId="11" xfId="2" applyFont="1" applyFill="1" applyBorder="1" applyAlignment="1" applyProtection="1">
      <alignment horizontal="left" vertical="center" wrapText="1"/>
      <protection hidden="1"/>
    </xf>
    <xf numFmtId="0" fontId="36" fillId="0" borderId="12" xfId="2" applyFont="1" applyFill="1" applyBorder="1" applyAlignment="1" applyProtection="1">
      <alignment horizontal="left" vertical="center" wrapText="1"/>
      <protection hidden="1"/>
    </xf>
    <xf numFmtId="0" fontId="36" fillId="0" borderId="7" xfId="2" applyFont="1" applyBorder="1" applyAlignment="1" applyProtection="1">
      <alignment horizontal="center"/>
      <protection hidden="1"/>
    </xf>
    <xf numFmtId="0" fontId="36" fillId="0" borderId="8" xfId="2" applyFont="1" applyBorder="1" applyAlignment="1" applyProtection="1">
      <alignment horizontal="center"/>
      <protection hidden="1"/>
    </xf>
    <xf numFmtId="0" fontId="36" fillId="0" borderId="7" xfId="2" applyFont="1" applyBorder="1" applyAlignment="1" applyProtection="1">
      <alignment horizontal="left"/>
      <protection locked="0"/>
    </xf>
    <xf numFmtId="0" fontId="34" fillId="0" borderId="10" xfId="2" applyFont="1" applyBorder="1" applyAlignment="1" applyProtection="1">
      <alignment horizontal="right"/>
      <protection hidden="1"/>
    </xf>
    <xf numFmtId="0" fontId="34" fillId="0" borderId="11" xfId="2" applyFont="1" applyBorder="1" applyAlignment="1" applyProtection="1">
      <alignment horizontal="right"/>
      <protection hidden="1"/>
    </xf>
    <xf numFmtId="0" fontId="34" fillId="0" borderId="12" xfId="2" applyFont="1" applyBorder="1" applyAlignment="1" applyProtection="1">
      <alignment horizontal="right"/>
      <protection hidden="1"/>
    </xf>
    <xf numFmtId="0" fontId="18" fillId="0" borderId="7" xfId="2" applyFont="1" applyBorder="1" applyAlignment="1" applyProtection="1">
      <alignment horizontal="left" vertical="top" wrapText="1"/>
      <protection hidden="1"/>
    </xf>
    <xf numFmtId="0" fontId="18" fillId="0" borderId="10" xfId="2" applyFont="1" applyBorder="1" applyAlignment="1" applyProtection="1">
      <alignment horizontal="left" vertical="center"/>
      <protection hidden="1"/>
    </xf>
    <xf numFmtId="0" fontId="18" fillId="0" borderId="11" xfId="2" applyFont="1" applyBorder="1" applyAlignment="1" applyProtection="1">
      <alignment horizontal="left" vertical="center"/>
      <protection hidden="1"/>
    </xf>
    <xf numFmtId="0" fontId="18" fillId="0" borderId="12" xfId="2" applyFont="1" applyBorder="1" applyAlignment="1" applyProtection="1">
      <alignment horizontal="left" vertical="center"/>
      <protection hidden="1"/>
    </xf>
    <xf numFmtId="0" fontId="19" fillId="0" borderId="7" xfId="2" applyFont="1" applyBorder="1" applyAlignment="1" applyProtection="1">
      <alignment horizontal="center" vertical="center"/>
      <protection hidden="1"/>
    </xf>
    <xf numFmtId="0" fontId="18" fillId="0" borderId="7" xfId="2" applyFont="1" applyBorder="1" applyAlignment="1" applyProtection="1">
      <alignment horizontal="center" vertical="center"/>
      <protection hidden="1"/>
    </xf>
    <xf numFmtId="0" fontId="36" fillId="0" borderId="10" xfId="2" applyFont="1" applyBorder="1" applyAlignment="1" applyProtection="1">
      <alignment horizontal="left" vertical="center"/>
      <protection hidden="1"/>
    </xf>
    <xf numFmtId="0" fontId="36" fillId="0" borderId="11" xfId="2" applyFont="1" applyBorder="1" applyAlignment="1" applyProtection="1">
      <alignment horizontal="left" vertical="center"/>
      <protection hidden="1"/>
    </xf>
    <xf numFmtId="0" fontId="36" fillId="0" borderId="12" xfId="2" applyFont="1" applyBorder="1" applyAlignment="1" applyProtection="1">
      <alignment horizontal="left" vertical="center"/>
      <protection hidden="1"/>
    </xf>
    <xf numFmtId="0" fontId="19" fillId="0" borderId="10" xfId="2" applyFont="1" applyBorder="1" applyAlignment="1" applyProtection="1">
      <alignment horizontal="center" vertical="center"/>
      <protection hidden="1"/>
    </xf>
    <xf numFmtId="0" fontId="19" fillId="0" borderId="12" xfId="2" applyFont="1" applyBorder="1" applyAlignment="1" applyProtection="1">
      <alignment horizontal="center" vertical="center"/>
      <protection hidden="1"/>
    </xf>
    <xf numFmtId="0" fontId="25" fillId="0" borderId="10" xfId="2" applyFont="1" applyBorder="1" applyAlignment="1" applyProtection="1">
      <alignment horizontal="center" vertical="center"/>
      <protection hidden="1"/>
    </xf>
    <xf numFmtId="0" fontId="25" fillId="0" borderId="12" xfId="2" applyFont="1" applyBorder="1" applyAlignment="1" applyProtection="1">
      <alignment horizontal="center" vertical="center"/>
      <protection hidden="1"/>
    </xf>
    <xf numFmtId="0" fontId="18" fillId="0" borderId="10" xfId="2" applyFont="1" applyBorder="1" applyAlignment="1" applyProtection="1">
      <alignment horizontal="right" vertical="center"/>
      <protection hidden="1"/>
    </xf>
    <xf numFmtId="0" fontId="18" fillId="0" borderId="11" xfId="2" applyFont="1" applyBorder="1" applyAlignment="1" applyProtection="1">
      <alignment horizontal="right" vertical="center"/>
      <protection hidden="1"/>
    </xf>
    <xf numFmtId="0" fontId="18" fillId="0" borderId="12" xfId="2" applyFont="1" applyBorder="1" applyAlignment="1" applyProtection="1">
      <alignment horizontal="right" vertical="center"/>
      <protection hidden="1"/>
    </xf>
    <xf numFmtId="0" fontId="25" fillId="0" borderId="11" xfId="2" applyFont="1" applyBorder="1" applyAlignment="1" applyProtection="1">
      <alignment horizontal="center" vertical="center"/>
      <protection hidden="1"/>
    </xf>
    <xf numFmtId="0" fontId="20" fillId="0" borderId="7" xfId="2" applyFont="1" applyBorder="1" applyAlignment="1" applyProtection="1">
      <alignment horizontal="right" vertical="center"/>
      <protection hidden="1"/>
    </xf>
    <xf numFmtId="0" fontId="18" fillId="0" borderId="13" xfId="2" applyFont="1" applyBorder="1" applyAlignment="1" applyProtection="1">
      <alignment horizontal="center" vertical="top"/>
      <protection hidden="1"/>
    </xf>
    <xf numFmtId="0" fontId="25" fillId="0" borderId="7" xfId="2" applyFont="1" applyBorder="1" applyAlignment="1" applyProtection="1">
      <alignment horizontal="center"/>
      <protection hidden="1"/>
    </xf>
    <xf numFmtId="1" fontId="18" fillId="0" borderId="7" xfId="2" applyNumberFormat="1" applyFont="1" applyBorder="1" applyAlignment="1" applyProtection="1">
      <alignment horizontal="center" vertical="center"/>
      <protection hidden="1"/>
    </xf>
    <xf numFmtId="1" fontId="18" fillId="0" borderId="8" xfId="2" applyNumberFormat="1" applyFont="1" applyBorder="1" applyAlignment="1" applyProtection="1">
      <alignment horizontal="center" vertical="center"/>
      <protection hidden="1"/>
    </xf>
    <xf numFmtId="0" fontId="25" fillId="0" borderId="14" xfId="2" applyFont="1" applyBorder="1" applyAlignment="1" applyProtection="1">
      <alignment horizontal="center" vertical="center"/>
      <protection hidden="1"/>
    </xf>
    <xf numFmtId="0" fontId="25" fillId="0" borderId="15" xfId="2" applyFont="1" applyBorder="1" applyAlignment="1" applyProtection="1">
      <alignment horizontal="center" vertical="center"/>
      <protection hidden="1"/>
    </xf>
    <xf numFmtId="0" fontId="25" fillId="0" borderId="16" xfId="2" applyFont="1" applyBorder="1" applyAlignment="1" applyProtection="1">
      <alignment horizontal="center" vertical="center"/>
      <protection hidden="1"/>
    </xf>
    <xf numFmtId="0" fontId="25" fillId="0" borderId="17" xfId="2" applyFont="1" applyBorder="1" applyAlignment="1" applyProtection="1">
      <alignment horizontal="center" vertical="center"/>
      <protection hidden="1"/>
    </xf>
    <xf numFmtId="1" fontId="22" fillId="0" borderId="7" xfId="2" applyNumberFormat="1" applyFont="1" applyBorder="1" applyAlignment="1" applyProtection="1">
      <alignment horizontal="center" vertical="center"/>
      <protection hidden="1"/>
    </xf>
    <xf numFmtId="1" fontId="22" fillId="0" borderId="8" xfId="2" applyNumberFormat="1" applyFont="1" applyBorder="1" applyAlignment="1" applyProtection="1">
      <alignment horizontal="center" vertical="center"/>
      <protection hidden="1"/>
    </xf>
    <xf numFmtId="1" fontId="20" fillId="0" borderId="7" xfId="2" applyNumberFormat="1" applyFont="1" applyFill="1" applyBorder="1" applyAlignment="1" applyProtection="1">
      <alignment horizontal="center" vertical="center"/>
      <protection hidden="1"/>
    </xf>
    <xf numFmtId="0" fontId="18" fillId="0" borderId="4" xfId="2" applyFont="1" applyBorder="1" applyAlignment="1" applyProtection="1">
      <alignment horizontal="left" vertical="center"/>
      <protection hidden="1"/>
    </xf>
    <xf numFmtId="0" fontId="19" fillId="0" borderId="4" xfId="3" applyFont="1" applyFill="1" applyBorder="1" applyAlignment="1" applyProtection="1">
      <alignment horizontal="left" vertical="center"/>
      <protection hidden="1"/>
    </xf>
    <xf numFmtId="0" fontId="26" fillId="0" borderId="4" xfId="2" applyFont="1" applyFill="1" applyBorder="1" applyAlignment="1" applyProtection="1">
      <alignment horizontal="left" vertical="center"/>
      <protection hidden="1"/>
    </xf>
    <xf numFmtId="0" fontId="26" fillId="0" borderId="4" xfId="2" applyFont="1" applyFill="1" applyBorder="1" applyAlignment="1" applyProtection="1">
      <alignment horizontal="center" vertical="center"/>
      <protection hidden="1"/>
    </xf>
    <xf numFmtId="0" fontId="26" fillId="0" borderId="5" xfId="2" applyFont="1" applyFill="1" applyBorder="1" applyAlignment="1" applyProtection="1">
      <alignment horizontal="center" vertical="center"/>
      <protection hidden="1"/>
    </xf>
    <xf numFmtId="0" fontId="18" fillId="0" borderId="6" xfId="2" applyFont="1" applyBorder="1" applyAlignment="1" applyProtection="1">
      <alignment horizontal="center" vertical="center"/>
      <protection hidden="1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7" xfId="2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6" fillId="0" borderId="0" xfId="1" applyFont="1" applyBorder="1" applyAlignment="1" applyProtection="1">
      <alignment horizontal="right" vertical="center"/>
      <protection hidden="1"/>
    </xf>
    <xf numFmtId="0" fontId="17" fillId="0" borderId="0" xfId="1" applyFont="1" applyBorder="1" applyAlignment="1" applyProtection="1">
      <alignment horizontal="center" vertical="center"/>
      <protection hidden="1"/>
    </xf>
    <xf numFmtId="0" fontId="38" fillId="0" borderId="0" xfId="1" applyFont="1" applyBorder="1" applyAlignment="1" applyProtection="1">
      <alignment horizontal="right" vertical="center"/>
      <protection hidden="1"/>
    </xf>
    <xf numFmtId="0" fontId="17" fillId="0" borderId="2" xfId="1" applyFont="1" applyBorder="1" applyAlignment="1" applyProtection="1">
      <alignment horizontal="left" vertical="center"/>
      <protection hidden="1"/>
    </xf>
    <xf numFmtId="0" fontId="1" fillId="0" borderId="0" xfId="0" applyFont="1"/>
    <xf numFmtId="0" fontId="41" fillId="3" borderId="29" xfId="5" applyFont="1" applyBorder="1" applyAlignment="1" applyProtection="1">
      <alignment horizontal="left" vertical="center" indent="1"/>
      <protection locked="0"/>
    </xf>
    <xf numFmtId="0" fontId="41" fillId="3" borderId="30" xfId="5" applyFont="1" applyBorder="1" applyAlignment="1" applyProtection="1">
      <alignment horizontal="left" vertical="center" indent="1"/>
      <protection locked="0"/>
    </xf>
    <xf numFmtId="0" fontId="21" fillId="3" borderId="32" xfId="5" applyFont="1" applyBorder="1" applyAlignment="1" applyProtection="1">
      <alignment horizontal="left" vertical="center" indent="1"/>
      <protection locked="0"/>
    </xf>
    <xf numFmtId="0" fontId="40" fillId="3" borderId="32" xfId="5" applyFont="1" applyBorder="1" applyAlignment="1" applyProtection="1">
      <alignment horizontal="left" vertical="center" indent="1"/>
      <protection locked="0"/>
    </xf>
    <xf numFmtId="0" fontId="40" fillId="3" borderId="32" xfId="5" applyNumberFormat="1" applyFont="1" applyBorder="1" applyAlignment="1" applyProtection="1">
      <alignment horizontal="left" vertical="center" indent="1"/>
      <protection locked="0"/>
    </xf>
    <xf numFmtId="9" fontId="40" fillId="3" borderId="32" xfId="5" applyNumberFormat="1" applyFont="1" applyBorder="1" applyAlignment="1" applyProtection="1">
      <alignment horizontal="left" vertical="center" indent="1"/>
      <protection locked="0"/>
    </xf>
    <xf numFmtId="0" fontId="40" fillId="3" borderId="34" xfId="5" applyFont="1" applyBorder="1" applyAlignment="1" applyProtection="1">
      <alignment horizontal="left" vertical="center" indent="1"/>
      <protection locked="0"/>
    </xf>
    <xf numFmtId="0" fontId="40" fillId="3" borderId="36" xfId="5" applyFont="1" applyBorder="1" applyAlignment="1" applyProtection="1">
      <alignment horizontal="left" vertical="center" indent="1"/>
      <protection locked="0"/>
    </xf>
    <xf numFmtId="0" fontId="53" fillId="6" borderId="0" xfId="1" applyFont="1" applyFill="1" applyBorder="1" applyAlignment="1" applyProtection="1">
      <alignment horizontal="center" vertical="center" wrapText="1"/>
      <protection hidden="1"/>
    </xf>
    <xf numFmtId="0" fontId="53" fillId="6" borderId="0" xfId="1" applyFont="1" applyFill="1" applyBorder="1" applyAlignment="1" applyProtection="1">
      <alignment horizontal="center" vertical="center"/>
      <protection hidden="1"/>
    </xf>
    <xf numFmtId="1" fontId="21" fillId="0" borderId="8" xfId="2" applyNumberFormat="1" applyFont="1" applyBorder="1" applyAlignment="1" applyProtection="1">
      <alignment horizontal="right" vertical="center"/>
      <protection locked="0"/>
    </xf>
    <xf numFmtId="1" fontId="20" fillId="0" borderId="7" xfId="2" applyNumberFormat="1" applyFont="1" applyBorder="1" applyAlignment="1" applyProtection="1">
      <alignment horizontal="center" vertical="center"/>
      <protection hidden="1"/>
    </xf>
    <xf numFmtId="0" fontId="55" fillId="7" borderId="0" xfId="6" applyFont="1" applyFill="1" applyAlignment="1" applyProtection="1">
      <alignment horizontal="center" vertical="center"/>
      <protection hidden="1"/>
    </xf>
    <xf numFmtId="0" fontId="56" fillId="7" borderId="0" xfId="0" applyFont="1" applyFill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0" fillId="0" borderId="0" xfId="0" applyProtection="1">
      <protection hidden="1"/>
    </xf>
    <xf numFmtId="0" fontId="57" fillId="7" borderId="0" xfId="0" applyFont="1" applyFill="1" applyAlignment="1" applyProtection="1">
      <alignment horizontal="center" vertical="top"/>
      <protection hidden="1"/>
    </xf>
    <xf numFmtId="0" fontId="58" fillId="8" borderId="0" xfId="0" applyFont="1" applyFill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Alignment="1" applyProtection="1">
      <protection hidden="1"/>
    </xf>
    <xf numFmtId="0" fontId="59" fillId="12" borderId="1" xfId="0" applyFont="1" applyFill="1" applyBorder="1" applyAlignment="1" applyProtection="1">
      <alignment horizontal="center" vertical="center"/>
      <protection locked="0"/>
    </xf>
    <xf numFmtId="0" fontId="0" fillId="13" borderId="39" xfId="0" applyFill="1" applyBorder="1" applyAlignment="1" applyProtection="1">
      <alignment horizontal="center"/>
      <protection hidden="1"/>
    </xf>
    <xf numFmtId="0" fontId="0" fillId="11" borderId="39" xfId="0" applyFill="1" applyBorder="1" applyAlignment="1" applyProtection="1">
      <alignment horizontal="center" vertical="center"/>
      <protection hidden="1"/>
    </xf>
    <xf numFmtId="0" fontId="59" fillId="14" borderId="1" xfId="0" applyFont="1" applyFill="1" applyBorder="1" applyAlignment="1" applyProtection="1">
      <alignment horizontal="center" vertical="center"/>
      <protection hidden="1"/>
    </xf>
    <xf numFmtId="0" fontId="59" fillId="15" borderId="0" xfId="0" applyFont="1" applyFill="1" applyBorder="1" applyAlignment="1" applyProtection="1">
      <alignment horizontal="center" vertical="center"/>
      <protection locked="0"/>
    </xf>
    <xf numFmtId="0" fontId="0" fillId="13" borderId="0" xfId="0" applyFill="1" applyBorder="1" applyAlignment="1" applyProtection="1">
      <alignment horizontal="center"/>
      <protection hidden="1"/>
    </xf>
    <xf numFmtId="0" fontId="0" fillId="11" borderId="0" xfId="0" applyFill="1" applyBorder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center"/>
      <protection hidden="1"/>
    </xf>
    <xf numFmtId="2" fontId="60" fillId="17" borderId="40" xfId="7" applyNumberFormat="1" applyFont="1" applyFill="1" applyBorder="1" applyAlignment="1" applyProtection="1">
      <alignment horizontal="left" vertical="center" wrapText="1"/>
      <protection hidden="1"/>
    </xf>
    <xf numFmtId="2" fontId="60" fillId="17" borderId="22" xfId="7" applyNumberFormat="1" applyFont="1" applyFill="1" applyBorder="1" applyAlignment="1" applyProtection="1">
      <alignment horizontal="left" vertical="center" wrapText="1"/>
      <protection hidden="1"/>
    </xf>
    <xf numFmtId="2" fontId="28" fillId="17" borderId="40" xfId="7" applyNumberFormat="1" applyFont="1" applyFill="1" applyBorder="1" applyAlignment="1" applyProtection="1">
      <alignment horizontal="left" vertical="center" wrapText="1"/>
      <protection hidden="1"/>
    </xf>
    <xf numFmtId="2" fontId="28" fillId="17" borderId="22" xfId="7" applyNumberFormat="1" applyFont="1" applyFill="1" applyBorder="1" applyAlignment="1" applyProtection="1">
      <alignment horizontal="left" vertical="center" wrapText="1"/>
      <protection hidden="1"/>
    </xf>
    <xf numFmtId="2" fontId="28" fillId="17" borderId="0" xfId="7" applyNumberFormat="1" applyFont="1" applyFill="1" applyBorder="1" applyAlignment="1" applyProtection="1">
      <alignment horizontal="left" vertical="center" wrapText="1"/>
      <protection hidden="1"/>
    </xf>
    <xf numFmtId="2" fontId="1" fillId="17" borderId="37" xfId="7" applyNumberFormat="1" applyFont="1" applyFill="1" applyBorder="1" applyAlignment="1" applyProtection="1">
      <alignment horizontal="left" vertical="center" wrapText="1"/>
      <protection hidden="1"/>
    </xf>
    <xf numFmtId="2" fontId="1" fillId="17" borderId="38" xfId="7" applyNumberFormat="1" applyFont="1" applyFill="1" applyBorder="1" applyAlignment="1" applyProtection="1">
      <alignment horizontal="left" vertical="center" wrapText="1"/>
      <protection hidden="1"/>
    </xf>
    <xf numFmtId="2" fontId="1" fillId="17" borderId="40" xfId="7" applyNumberFormat="1" applyFont="1" applyFill="1" applyBorder="1" applyAlignment="1" applyProtection="1">
      <alignment horizontal="left" vertical="center" wrapText="1"/>
      <protection hidden="1"/>
    </xf>
    <xf numFmtId="2" fontId="1" fillId="17" borderId="22" xfId="7" applyNumberFormat="1" applyFont="1" applyFill="1" applyBorder="1" applyAlignment="1" applyProtection="1">
      <alignment horizontal="left" vertical="center" wrapText="1"/>
      <protection hidden="1"/>
    </xf>
    <xf numFmtId="2" fontId="23" fillId="16" borderId="1" xfId="8" applyNumberFormat="1" applyFont="1" applyFill="1" applyBorder="1" applyAlignment="1" applyProtection="1">
      <alignment horizontal="left" vertical="center"/>
      <protection hidden="1"/>
    </xf>
    <xf numFmtId="2" fontId="28" fillId="16" borderId="1" xfId="8" applyNumberFormat="1" applyFont="1" applyFill="1" applyBorder="1" applyAlignment="1" applyProtection="1">
      <alignment horizontal="left" vertical="center"/>
      <protection hidden="1"/>
    </xf>
    <xf numFmtId="2" fontId="23" fillId="16" borderId="1" xfId="8" applyNumberFormat="1" applyFont="1" applyFill="1" applyBorder="1" applyAlignment="1" applyProtection="1">
      <alignment horizontal="left" vertical="center" wrapText="1"/>
      <protection hidden="1"/>
    </xf>
    <xf numFmtId="2" fontId="62" fillId="16" borderId="1" xfId="8" applyNumberFormat="1" applyFont="1" applyFill="1" applyBorder="1" applyAlignment="1" applyProtection="1">
      <alignment horizontal="left" vertical="center"/>
      <protection hidden="1"/>
    </xf>
    <xf numFmtId="2" fontId="23" fillId="16" borderId="41" xfId="8" applyNumberFormat="1" applyFont="1" applyFill="1" applyBorder="1" applyAlignment="1" applyProtection="1">
      <alignment horizontal="left" vertical="center"/>
      <protection hidden="1"/>
    </xf>
    <xf numFmtId="2" fontId="23" fillId="16" borderId="42" xfId="8" applyNumberFormat="1" applyFont="1" applyFill="1" applyBorder="1" applyAlignment="1" applyProtection="1">
      <alignment horizontal="left" vertical="center"/>
      <protection hidden="1"/>
    </xf>
    <xf numFmtId="2" fontId="65" fillId="16" borderId="0" xfId="8" applyNumberFormat="1" applyFont="1" applyFill="1" applyBorder="1" applyAlignment="1" applyProtection="1">
      <alignment horizontal="left" vertical="center"/>
      <protection hidden="1"/>
    </xf>
    <xf numFmtId="2" fontId="65" fillId="16" borderId="43" xfId="8" applyNumberFormat="1" applyFont="1" applyFill="1" applyBorder="1" applyAlignment="1" applyProtection="1">
      <alignment horizontal="left" vertical="center"/>
      <protection hidden="1"/>
    </xf>
    <xf numFmtId="2" fontId="65" fillId="16" borderId="0" xfId="8" applyNumberFormat="1" applyFont="1" applyFill="1" applyBorder="1" applyAlignment="1" applyProtection="1">
      <alignment horizontal="left" vertical="center"/>
      <protection hidden="1"/>
    </xf>
    <xf numFmtId="2" fontId="65" fillId="17" borderId="44" xfId="8" applyNumberFormat="1" applyFont="1" applyFill="1" applyBorder="1" applyAlignment="1" applyProtection="1">
      <alignment horizontal="left" vertical="center"/>
      <protection hidden="1"/>
    </xf>
    <xf numFmtId="2" fontId="65" fillId="17" borderId="22" xfId="8" applyNumberFormat="1" applyFont="1" applyFill="1" applyBorder="1" applyAlignment="1" applyProtection="1">
      <alignment horizontal="left" vertical="center"/>
      <protection hidden="1"/>
    </xf>
    <xf numFmtId="0" fontId="47" fillId="0" borderId="0" xfId="0" applyFont="1" applyBorder="1" applyAlignment="1" applyProtection="1">
      <alignment horizontal="center" vertical="center"/>
      <protection hidden="1"/>
    </xf>
    <xf numFmtId="0" fontId="66" fillId="0" borderId="0" xfId="0" applyFont="1" applyBorder="1" applyAlignment="1" applyProtection="1">
      <alignment horizontal="center" vertical="center"/>
      <protection hidden="1"/>
    </xf>
    <xf numFmtId="1" fontId="28" fillId="0" borderId="7" xfId="2" applyNumberFormat="1" applyFont="1" applyBorder="1" applyAlignment="1" applyProtection="1">
      <alignment horizontal="center" vertical="center"/>
      <protection hidden="1"/>
    </xf>
    <xf numFmtId="1" fontId="21" fillId="0" borderId="7" xfId="2" applyNumberFormat="1" applyFont="1" applyBorder="1" applyAlignment="1" applyProtection="1">
      <alignment horizontal="center" vertical="center"/>
      <protection hidden="1"/>
    </xf>
    <xf numFmtId="2" fontId="67" fillId="17" borderId="40" xfId="7" applyNumberFormat="1" applyFont="1" applyFill="1" applyBorder="1" applyAlignment="1" applyProtection="1">
      <alignment horizontal="left" vertical="center" wrapText="1"/>
      <protection hidden="1"/>
    </xf>
    <xf numFmtId="2" fontId="67" fillId="17" borderId="22" xfId="7" applyNumberFormat="1" applyFont="1" applyFill="1" applyBorder="1" applyAlignment="1" applyProtection="1">
      <alignment horizontal="left" vertical="center" wrapText="1"/>
      <protection hidden="1"/>
    </xf>
    <xf numFmtId="0" fontId="68" fillId="0" borderId="7" xfId="2" applyFont="1" applyFill="1" applyBorder="1" applyAlignment="1" applyProtection="1">
      <alignment horizontal="left"/>
      <protection hidden="1"/>
    </xf>
    <xf numFmtId="1" fontId="35" fillId="0" borderId="7" xfId="2" applyNumberFormat="1" applyFont="1" applyBorder="1" applyAlignment="1" applyProtection="1">
      <alignment horizontal="right"/>
      <protection hidden="1"/>
    </xf>
    <xf numFmtId="1" fontId="35" fillId="2" borderId="7" xfId="2" applyNumberFormat="1" applyFont="1" applyFill="1" applyBorder="1" applyAlignment="1" applyProtection="1">
      <alignment horizontal="right"/>
      <protection hidden="1"/>
    </xf>
    <xf numFmtId="1" fontId="35" fillId="0" borderId="7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69" fillId="0" borderId="46" xfId="2" applyFont="1" applyBorder="1" applyAlignment="1" applyProtection="1">
      <alignment horizontal="justify" vertical="center" wrapText="1"/>
      <protection hidden="1"/>
    </xf>
    <xf numFmtId="0" fontId="69" fillId="0" borderId="47" xfId="2" applyFont="1" applyBorder="1" applyAlignment="1" applyProtection="1">
      <alignment horizontal="justify" vertical="center" wrapText="1"/>
      <protection hidden="1"/>
    </xf>
    <xf numFmtId="0" fontId="69" fillId="0" borderId="48" xfId="2" applyFont="1" applyBorder="1" applyAlignment="1" applyProtection="1">
      <alignment horizontal="justify" vertical="center" wrapText="1"/>
      <protection hidden="1"/>
    </xf>
    <xf numFmtId="0" fontId="69" fillId="0" borderId="49" xfId="2" applyFont="1" applyBorder="1" applyAlignment="1" applyProtection="1">
      <alignment horizontal="justify" vertical="center" wrapText="1"/>
      <protection hidden="1"/>
    </xf>
    <xf numFmtId="0" fontId="69" fillId="0" borderId="0" xfId="2" applyFont="1" applyBorder="1" applyAlignment="1" applyProtection="1">
      <alignment horizontal="justify" vertical="center" wrapText="1"/>
      <protection hidden="1"/>
    </xf>
    <xf numFmtId="0" fontId="69" fillId="0" borderId="50" xfId="2" applyFont="1" applyBorder="1" applyAlignment="1" applyProtection="1">
      <alignment horizontal="justify" vertical="center" wrapText="1"/>
      <protection hidden="1"/>
    </xf>
    <xf numFmtId="0" fontId="69" fillId="0" borderId="51" xfId="2" applyFont="1" applyBorder="1" applyAlignment="1" applyProtection="1">
      <alignment horizontal="justify" vertical="center" wrapText="1"/>
      <protection hidden="1"/>
    </xf>
    <xf numFmtId="0" fontId="69" fillId="0" borderId="45" xfId="2" applyFont="1" applyBorder="1" applyAlignment="1" applyProtection="1">
      <alignment horizontal="justify" vertical="center" wrapText="1"/>
      <protection hidden="1"/>
    </xf>
    <xf numFmtId="0" fontId="69" fillId="0" borderId="52" xfId="2" applyFont="1" applyBorder="1" applyAlignment="1" applyProtection="1">
      <alignment horizontal="justify" vertical="center" wrapText="1"/>
      <protection hidden="1"/>
    </xf>
    <xf numFmtId="0" fontId="70" fillId="0" borderId="0" xfId="0" applyFont="1" applyAlignment="1" applyProtection="1">
      <alignment horizontal="right" vertical="center"/>
      <protection hidden="1"/>
    </xf>
    <xf numFmtId="0" fontId="71" fillId="0" borderId="0" xfId="0" applyFont="1" applyBorder="1" applyAlignment="1" applyProtection="1">
      <alignment horizontal="center" vertical="top" wrapText="1"/>
      <protection hidden="1"/>
    </xf>
    <xf numFmtId="0" fontId="72" fillId="0" borderId="53" xfId="0" applyFont="1" applyBorder="1" applyAlignment="1" applyProtection="1">
      <alignment horizontal="center" vertical="center" wrapText="1"/>
      <protection hidden="1"/>
    </xf>
    <xf numFmtId="0" fontId="73" fillId="15" borderId="46" xfId="0" applyFont="1" applyFill="1" applyBorder="1" applyAlignment="1" applyProtection="1">
      <alignment horizontal="center" vertical="center" wrapText="1"/>
      <protection locked="0"/>
    </xf>
    <xf numFmtId="0" fontId="73" fillId="15" borderId="51" xfId="0" applyFont="1" applyFill="1" applyBorder="1" applyAlignment="1" applyProtection="1">
      <alignment horizontal="center" vertical="center" wrapText="1"/>
      <protection locked="0"/>
    </xf>
    <xf numFmtId="0" fontId="72" fillId="0" borderId="27" xfId="0" applyFont="1" applyBorder="1" applyAlignment="1" applyProtection="1">
      <alignment horizontal="center" vertical="center" wrapText="1"/>
      <protection hidden="1"/>
    </xf>
    <xf numFmtId="1" fontId="26" fillId="0" borderId="7" xfId="2" applyNumberFormat="1" applyFont="1" applyBorder="1" applyAlignment="1" applyProtection="1">
      <alignment horizontal="right"/>
      <protection hidden="1"/>
    </xf>
    <xf numFmtId="1" fontId="35" fillId="0" borderId="7" xfId="2" applyNumberFormat="1" applyFont="1" applyBorder="1" applyAlignment="1" applyProtection="1">
      <alignment horizontal="center" vertical="center"/>
      <protection hidden="1"/>
    </xf>
    <xf numFmtId="1" fontId="35" fillId="0" borderId="7" xfId="2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" fontId="35" fillId="0" borderId="8" xfId="2" applyNumberFormat="1" applyFont="1" applyBorder="1" applyAlignment="1" applyProtection="1">
      <alignment horizontal="center" vertical="center" wrapText="1"/>
      <protection hidden="1"/>
    </xf>
    <xf numFmtId="165" fontId="75" fillId="0" borderId="1" xfId="0" applyNumberFormat="1" applyFont="1" applyBorder="1" applyAlignment="1">
      <alignment horizontal="center" vertical="center"/>
    </xf>
    <xf numFmtId="0" fontId="0" fillId="4" borderId="0" xfId="0" applyFill="1" applyProtection="1">
      <protection hidden="1"/>
    </xf>
    <xf numFmtId="0" fontId="43" fillId="5" borderId="24" xfId="0" applyFont="1" applyFill="1" applyBorder="1" applyAlignment="1" applyProtection="1">
      <alignment horizontal="center" vertical="center"/>
      <protection hidden="1"/>
    </xf>
    <xf numFmtId="0" fontId="43" fillId="5" borderId="25" xfId="0" applyFont="1" applyFill="1" applyBorder="1" applyAlignment="1" applyProtection="1">
      <alignment horizontal="center" vertical="center"/>
      <protection hidden="1"/>
    </xf>
    <xf numFmtId="0" fontId="43" fillId="5" borderId="26" xfId="0" applyFont="1" applyFill="1" applyBorder="1" applyAlignment="1" applyProtection="1">
      <alignment horizontal="center" vertical="center"/>
      <protection hidden="1"/>
    </xf>
    <xf numFmtId="0" fontId="28" fillId="4" borderId="28" xfId="0" applyFont="1" applyFill="1" applyBorder="1" applyAlignment="1" applyProtection="1">
      <alignment horizontal="right" vertical="center" indent="1"/>
      <protection hidden="1"/>
    </xf>
    <xf numFmtId="0" fontId="28" fillId="4" borderId="31" xfId="0" applyFont="1" applyFill="1" applyBorder="1" applyAlignment="1" applyProtection="1">
      <alignment horizontal="right" vertical="center" indent="1"/>
      <protection hidden="1"/>
    </xf>
    <xf numFmtId="0" fontId="41" fillId="4" borderId="0" xfId="0" applyFont="1" applyFill="1" applyBorder="1" applyAlignment="1" applyProtection="1">
      <alignment horizontal="right" vertical="center" indent="1"/>
      <protection hidden="1"/>
    </xf>
    <xf numFmtId="0" fontId="21" fillId="4" borderId="31" xfId="0" applyFont="1" applyFill="1" applyBorder="1" applyAlignment="1" applyProtection="1">
      <alignment horizontal="right" vertical="center" indent="1"/>
      <protection hidden="1"/>
    </xf>
    <xf numFmtId="0" fontId="41" fillId="4" borderId="31" xfId="0" applyFont="1" applyFill="1" applyBorder="1" applyAlignment="1" applyProtection="1">
      <alignment horizontal="right" vertical="center" indent="1"/>
      <protection hidden="1"/>
    </xf>
    <xf numFmtId="0" fontId="28" fillId="4" borderId="0" xfId="0" applyFont="1" applyFill="1" applyBorder="1" applyAlignment="1" applyProtection="1">
      <alignment horizontal="right" vertical="center" indent="1"/>
      <protection hidden="1"/>
    </xf>
    <xf numFmtId="0" fontId="21" fillId="4" borderId="0" xfId="0" applyFont="1" applyFill="1" applyBorder="1" applyAlignment="1" applyProtection="1">
      <alignment horizontal="right" vertical="center" indent="1"/>
      <protection hidden="1"/>
    </xf>
    <xf numFmtId="0" fontId="21" fillId="4" borderId="33" xfId="0" applyFont="1" applyFill="1" applyBorder="1" applyAlignment="1" applyProtection="1">
      <alignment horizontal="right" vertical="center" indent="1"/>
      <protection hidden="1"/>
    </xf>
    <xf numFmtId="0" fontId="21" fillId="4" borderId="35" xfId="0" applyFont="1" applyFill="1" applyBorder="1" applyAlignment="1" applyProtection="1">
      <alignment horizontal="right" vertical="center" indent="1"/>
      <protection hidden="1"/>
    </xf>
    <xf numFmtId="0" fontId="59" fillId="4" borderId="0" xfId="0" applyFont="1" applyFill="1" applyAlignment="1" applyProtection="1">
      <alignment horizontal="right" vertical="center"/>
      <protection hidden="1"/>
    </xf>
    <xf numFmtId="0" fontId="76" fillId="4" borderId="0" xfId="0" applyFont="1" applyFill="1" applyAlignment="1" applyProtection="1">
      <alignment horizontal="left" vertical="center"/>
      <protection hidden="1"/>
    </xf>
    <xf numFmtId="0" fontId="0" fillId="0" borderId="1" xfId="0" applyBorder="1" applyProtection="1">
      <protection locked="0"/>
    </xf>
    <xf numFmtId="164" fontId="11" fillId="0" borderId="22" xfId="0" applyNumberFormat="1" applyFont="1" applyBorder="1" applyAlignment="1" applyProtection="1">
      <alignment horizontal="left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5" fontId="67" fillId="0" borderId="1" xfId="0" applyNumberFormat="1" applyFont="1" applyFill="1" applyBorder="1" applyAlignment="1" applyProtection="1">
      <alignment horizontal="center" vertical="center"/>
      <protection locked="0"/>
    </xf>
    <xf numFmtId="165" fontId="74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8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2106275" y="0"/>
          <a:ext cx="223837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NWwIhkhEU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showGridLines="0" showRowColHeaders="0" tabSelected="1" workbookViewId="0">
      <selection activeCell="D16" sqref="D16"/>
    </sheetView>
  </sheetViews>
  <sheetFormatPr defaultRowHeight="15"/>
  <cols>
    <col min="1" max="1" width="5.875" style="182" customWidth="1"/>
    <col min="2" max="2" width="57" style="182" customWidth="1"/>
    <col min="3" max="3" width="39" style="182" customWidth="1"/>
    <col min="4" max="4" width="32" style="182" customWidth="1"/>
    <col min="5" max="5" width="35.5" style="182" customWidth="1"/>
    <col min="6" max="6" width="8.25" style="182" customWidth="1"/>
    <col min="7" max="16384" width="9" style="182"/>
  </cols>
  <sheetData>
    <row r="1" spans="1:6" ht="15.75" thickBot="1">
      <c r="A1" s="248"/>
      <c r="B1" s="248"/>
      <c r="C1" s="248"/>
      <c r="D1" s="248"/>
      <c r="E1" s="248"/>
      <c r="F1" s="248"/>
    </row>
    <row r="2" spans="1:6" ht="48.75" customHeight="1" thickBot="1">
      <c r="A2" s="248"/>
      <c r="B2" s="249" t="s">
        <v>150</v>
      </c>
      <c r="C2" s="250"/>
      <c r="D2" s="250"/>
      <c r="E2" s="251"/>
      <c r="F2" s="248"/>
    </row>
    <row r="3" spans="1:6" ht="30.95" customHeight="1">
      <c r="A3" s="248"/>
      <c r="B3" s="252" t="s">
        <v>164</v>
      </c>
      <c r="C3" s="167" t="s">
        <v>176</v>
      </c>
      <c r="D3" s="167"/>
      <c r="E3" s="168"/>
      <c r="F3" s="248"/>
    </row>
    <row r="4" spans="1:6" ht="30.95" customHeight="1">
      <c r="A4" s="248"/>
      <c r="B4" s="253" t="s">
        <v>163</v>
      </c>
      <c r="C4" s="57" t="s">
        <v>182</v>
      </c>
      <c r="D4" s="254" t="s">
        <v>170</v>
      </c>
      <c r="E4" s="169" t="s">
        <v>33</v>
      </c>
      <c r="F4" s="248"/>
    </row>
    <row r="5" spans="1:6" ht="30.95" customHeight="1">
      <c r="A5" s="248"/>
      <c r="B5" s="255" t="s">
        <v>162</v>
      </c>
      <c r="C5" s="47" t="s">
        <v>151</v>
      </c>
      <c r="D5" s="254" t="s">
        <v>167</v>
      </c>
      <c r="E5" s="170" t="s">
        <v>168</v>
      </c>
      <c r="F5" s="248" t="s">
        <v>157</v>
      </c>
    </row>
    <row r="6" spans="1:6" ht="30.95" customHeight="1">
      <c r="A6" s="248"/>
      <c r="B6" s="256" t="s">
        <v>171</v>
      </c>
      <c r="C6" s="47"/>
      <c r="D6" s="254" t="s">
        <v>172</v>
      </c>
      <c r="E6" s="170" t="s">
        <v>183</v>
      </c>
      <c r="F6" s="248"/>
    </row>
    <row r="7" spans="1:6" ht="30.95" customHeight="1">
      <c r="A7" s="248"/>
      <c r="B7" s="255" t="s">
        <v>161</v>
      </c>
      <c r="C7" s="47" t="s">
        <v>35</v>
      </c>
      <c r="D7" s="257" t="s">
        <v>169</v>
      </c>
      <c r="E7" s="171" t="s">
        <v>152</v>
      </c>
      <c r="F7" s="248"/>
    </row>
    <row r="8" spans="1:6" ht="30.95" customHeight="1">
      <c r="A8" s="248"/>
      <c r="B8" s="255" t="s">
        <v>153</v>
      </c>
      <c r="C8" s="47" t="s">
        <v>154</v>
      </c>
      <c r="D8" s="258" t="s">
        <v>158</v>
      </c>
      <c r="E8" s="171" t="s">
        <v>186</v>
      </c>
      <c r="F8" s="248"/>
    </row>
    <row r="9" spans="1:6" ht="30.95" customHeight="1">
      <c r="A9" s="248"/>
      <c r="B9" s="253" t="s">
        <v>184</v>
      </c>
      <c r="C9" s="48">
        <v>0</v>
      </c>
      <c r="D9" s="257" t="s">
        <v>165</v>
      </c>
      <c r="E9" s="171">
        <v>3500</v>
      </c>
      <c r="F9" s="248"/>
    </row>
    <row r="10" spans="1:6" ht="30.95" customHeight="1">
      <c r="A10" s="248"/>
      <c r="B10" s="255" t="s">
        <v>160</v>
      </c>
      <c r="C10" s="48">
        <v>49500</v>
      </c>
      <c r="D10" s="258" t="s">
        <v>155</v>
      </c>
      <c r="E10" s="172">
        <v>0.08</v>
      </c>
      <c r="F10" s="248"/>
    </row>
    <row r="11" spans="1:6" ht="30.95" customHeight="1">
      <c r="A11" s="248"/>
      <c r="B11" s="255" t="s">
        <v>159</v>
      </c>
      <c r="C11" s="47" t="s">
        <v>156</v>
      </c>
      <c r="D11" s="257" t="s">
        <v>166</v>
      </c>
      <c r="E11" s="170"/>
      <c r="F11" s="248"/>
    </row>
    <row r="12" spans="1:6" ht="30.95" customHeight="1" thickBot="1">
      <c r="A12" s="248"/>
      <c r="B12" s="259" t="s">
        <v>179</v>
      </c>
      <c r="C12" s="173">
        <v>400</v>
      </c>
      <c r="D12" s="260" t="s">
        <v>180</v>
      </c>
      <c r="E12" s="174">
        <v>208</v>
      </c>
      <c r="F12" s="248"/>
    </row>
    <row r="13" spans="1:6" ht="29.25" customHeight="1">
      <c r="A13" s="248"/>
      <c r="B13" s="248"/>
      <c r="C13" s="248"/>
      <c r="D13" s="248"/>
      <c r="E13" s="248"/>
      <c r="F13" s="248"/>
    </row>
    <row r="14" spans="1:6" ht="30.75" customHeight="1">
      <c r="A14" s="248"/>
      <c r="B14" s="261" t="s">
        <v>242</v>
      </c>
      <c r="C14" s="262" t="s">
        <v>241</v>
      </c>
      <c r="D14" s="248"/>
      <c r="E14" s="248"/>
      <c r="F14" s="248"/>
    </row>
  </sheetData>
  <sheetProtection password="C1FB" sheet="1" objects="1" scenarios="1"/>
  <mergeCells count="2">
    <mergeCell ref="B2:E2"/>
    <mergeCell ref="C3:E3"/>
  </mergeCells>
  <dataValidations count="4">
    <dataValidation type="list" allowBlank="1" showInputMessage="1" showErrorMessage="1" sqref="C5:C6">
      <formula1>$H$2:$H$22</formula1>
    </dataValidation>
    <dataValidation type="list" allowBlank="1" showInputMessage="1" showErrorMessage="1" sqref="E10">
      <formula1>"NA,8%,16%"</formula1>
    </dataValidation>
    <dataValidation type="list" allowBlank="1" showInputMessage="1" showErrorMessage="1" sqref="C11">
      <formula1>"YES,NO"</formula1>
    </dataValidation>
    <dataValidation type="list" allowBlank="1" showInputMessage="1" showErrorMessage="1" sqref="E8">
      <formula1>"NPS, GPF"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"/>
  <sheetViews>
    <sheetView showGridLines="0" view="pageBreakPreview" zoomScaleSheetLayoutView="100" workbookViewId="0">
      <selection activeCell="E22" sqref="E22"/>
    </sheetView>
  </sheetViews>
  <sheetFormatPr defaultRowHeight="15"/>
  <cols>
    <col min="1" max="1" width="4.625" customWidth="1"/>
    <col min="2" max="2" width="14.125" customWidth="1"/>
    <col min="3" max="3" width="8.625" customWidth="1"/>
    <col min="4" max="4" width="7.25" customWidth="1"/>
    <col min="5" max="5" width="6.875" customWidth="1"/>
    <col min="6" max="6" width="6.125" customWidth="1"/>
    <col min="7" max="7" width="6.375" customWidth="1"/>
    <col min="8" max="8" width="5.75" customWidth="1"/>
    <col min="9" max="9" width="8.875" bestFit="1" customWidth="1"/>
    <col min="10" max="10" width="5.625" customWidth="1"/>
    <col min="11" max="11" width="10" customWidth="1"/>
    <col min="12" max="12" width="6" customWidth="1"/>
    <col min="13" max="13" width="5.25" customWidth="1"/>
    <col min="14" max="14" width="6.25" customWidth="1"/>
    <col min="15" max="15" width="5.75" customWidth="1"/>
    <col min="16" max="16" width="6.375" customWidth="1"/>
    <col min="17" max="17" width="6.5" customWidth="1"/>
    <col min="18" max="18" width="6.25" customWidth="1"/>
    <col min="19" max="19" width="6.875" customWidth="1"/>
    <col min="20" max="20" width="6.625" customWidth="1"/>
    <col min="21" max="21" width="8.75" customWidth="1"/>
    <col min="22" max="22" width="9" customWidth="1"/>
    <col min="23" max="23" width="9.625" customWidth="1"/>
  </cols>
  <sheetData>
    <row r="1" spans="1:24" ht="21">
      <c r="B1" s="60" t="str">
        <f>IF('मास्टर शीट '!C3="","",CONCATENATE("Office of the Principal"," , ",'मास्टर शीट '!C3))</f>
        <v>Office of the Principal ,  Govt. Higher Secondary School, Agdal Distt, Rewa (M.P.)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ht="21.75" customHeight="1">
      <c r="B2" s="61" t="s">
        <v>177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4" s="51" customFormat="1" ht="17.25">
      <c r="B3" s="58" t="s">
        <v>167</v>
      </c>
      <c r="C3" s="69" t="str">
        <f>IF('मास्टर शीट '!E5="","",UPPER('मास्टर शीट '!E5))</f>
        <v>BI2307</v>
      </c>
      <c r="D3" s="69"/>
      <c r="E3" s="69"/>
      <c r="F3" s="69"/>
      <c r="G3" s="70" t="s">
        <v>173</v>
      </c>
      <c r="H3" s="70"/>
      <c r="I3" s="71" t="str">
        <f>IF('मास्टर शीट '!C4="","",UPPER('मास्टर शीट '!C4))</f>
        <v>HEERALAL JAT</v>
      </c>
      <c r="J3" s="71"/>
      <c r="K3" s="71"/>
      <c r="L3" s="71"/>
      <c r="M3" s="71"/>
      <c r="N3" s="72" t="s">
        <v>170</v>
      </c>
      <c r="O3" s="72"/>
      <c r="P3" s="72"/>
      <c r="Q3" s="72"/>
      <c r="R3" s="72"/>
      <c r="S3" s="71" t="str">
        <f>IF('मास्टर शीट '!E4="","",UPPER('मास्टर शीट '!E4))</f>
        <v>UPPER MIDDLE TEACHER</v>
      </c>
      <c r="T3" s="71"/>
      <c r="U3" s="71"/>
      <c r="V3" s="71"/>
      <c r="W3" s="71"/>
    </row>
    <row r="4" spans="1:24" ht="19.5" customHeight="1">
      <c r="A4" s="74" t="s">
        <v>171</v>
      </c>
      <c r="B4" s="74"/>
      <c r="C4" s="73" t="str">
        <f>IF('मास्टर शीट '!C6="","",UPPER('मास्टर शीट '!C6))</f>
        <v/>
      </c>
      <c r="D4" s="73"/>
      <c r="E4" s="73"/>
      <c r="F4" s="73"/>
      <c r="G4" s="73"/>
      <c r="H4" s="73"/>
      <c r="I4" s="73"/>
      <c r="J4" s="73"/>
      <c r="K4" s="74" t="s">
        <v>172</v>
      </c>
      <c r="L4" s="74"/>
      <c r="M4" s="74"/>
      <c r="N4" s="74"/>
      <c r="O4" s="71" t="str">
        <f>IF('मास्टर शीट '!E6="","",UPPER('मास्टर शीट '!E6))</f>
        <v>H.S.S.AGDAL (3202003099) M.P.</v>
      </c>
      <c r="P4" s="71"/>
      <c r="Q4" s="71"/>
      <c r="R4" s="71"/>
      <c r="S4" s="71"/>
      <c r="T4" s="71"/>
      <c r="U4" s="71"/>
      <c r="V4" s="71"/>
      <c r="W4" s="71"/>
      <c r="X4" s="11"/>
    </row>
    <row r="5" spans="1:24" ht="15.75">
      <c r="B5" s="49" t="s">
        <v>174</v>
      </c>
      <c r="C5" s="77" t="str">
        <f>IF('मास्टर शीट '!C7="","",UPPER('मास्टर शीट '!C7))</f>
        <v>ADBPT5575H</v>
      </c>
      <c r="D5" s="77"/>
      <c r="E5" s="77"/>
      <c r="F5" s="77"/>
      <c r="G5" s="74" t="s">
        <v>175</v>
      </c>
      <c r="H5" s="74"/>
      <c r="I5" s="74"/>
      <c r="J5" s="71" t="str">
        <f>IF('मास्टर शीट '!E8="","",UPPER('मास्टर शीट '!E8))</f>
        <v>NPS</v>
      </c>
      <c r="K5" s="71"/>
      <c r="L5" s="71"/>
      <c r="M5" s="71"/>
      <c r="N5" s="71"/>
      <c r="O5" s="74" t="s">
        <v>178</v>
      </c>
      <c r="P5" s="74"/>
      <c r="Q5" s="74"/>
      <c r="R5" s="74"/>
      <c r="S5" s="74"/>
      <c r="T5" s="71" t="str">
        <f>IF('मास्टर शीट '!E7="","",UPPER('मास्टर शीट '!E7))</f>
        <v>51XXXXXXXXX96</v>
      </c>
      <c r="U5" s="71"/>
      <c r="V5" s="71"/>
      <c r="W5" s="71"/>
      <c r="X5" s="11"/>
    </row>
    <row r="7" spans="1:24" ht="15" customHeight="1">
      <c r="A7" s="75" t="s">
        <v>181</v>
      </c>
      <c r="B7" s="62" t="s">
        <v>0</v>
      </c>
      <c r="C7" s="63" t="s">
        <v>1</v>
      </c>
      <c r="D7" s="63"/>
      <c r="E7" s="63"/>
      <c r="F7" s="63"/>
      <c r="G7" s="63"/>
      <c r="H7" s="63"/>
      <c r="I7" s="63"/>
      <c r="J7" s="63"/>
      <c r="K7" s="64" t="s">
        <v>2</v>
      </c>
      <c r="L7" s="63" t="s">
        <v>3</v>
      </c>
      <c r="M7" s="63"/>
      <c r="N7" s="63"/>
      <c r="O7" s="63"/>
      <c r="P7" s="63"/>
      <c r="Q7" s="63"/>
      <c r="R7" s="63"/>
      <c r="S7" s="63"/>
      <c r="T7" s="66" t="s">
        <v>4</v>
      </c>
      <c r="U7" s="68" t="s">
        <v>24</v>
      </c>
      <c r="V7" s="68"/>
      <c r="W7" s="68" t="s">
        <v>19</v>
      </c>
    </row>
    <row r="8" spans="1:24" ht="52.5">
      <c r="A8" s="75"/>
      <c r="B8" s="62"/>
      <c r="C8" s="52" t="s">
        <v>5</v>
      </c>
      <c r="D8" s="12" t="s">
        <v>22</v>
      </c>
      <c r="E8" s="52" t="s">
        <v>6</v>
      </c>
      <c r="F8" s="52" t="s">
        <v>7</v>
      </c>
      <c r="G8" s="52" t="s">
        <v>8</v>
      </c>
      <c r="H8" s="52" t="s">
        <v>9</v>
      </c>
      <c r="I8" s="56" t="s">
        <v>23</v>
      </c>
      <c r="J8" s="54" t="s">
        <v>10</v>
      </c>
      <c r="K8" s="65"/>
      <c r="L8" s="52" t="s">
        <v>11</v>
      </c>
      <c r="M8" s="52" t="s">
        <v>12</v>
      </c>
      <c r="N8" s="55" t="s">
        <v>13</v>
      </c>
      <c r="O8" s="52" t="s">
        <v>14</v>
      </c>
      <c r="P8" s="52" t="s">
        <v>15</v>
      </c>
      <c r="Q8" s="52" t="s">
        <v>16</v>
      </c>
      <c r="R8" s="53" t="s">
        <v>17</v>
      </c>
      <c r="S8" s="53" t="s">
        <v>18</v>
      </c>
      <c r="T8" s="67"/>
      <c r="U8" s="10" t="s">
        <v>25</v>
      </c>
      <c r="V8" s="10" t="s">
        <v>26</v>
      </c>
      <c r="W8" s="68"/>
    </row>
    <row r="9" spans="1:24" ht="20.100000000000001" customHeight="1">
      <c r="A9" s="263">
        <v>1</v>
      </c>
      <c r="B9" s="264">
        <v>44276</v>
      </c>
      <c r="C9" s="265">
        <f>IF('मास्टर शीट '!C10="","",'मास्टर शीट '!C10)</f>
        <v>49500</v>
      </c>
      <c r="D9" s="266">
        <v>0</v>
      </c>
      <c r="E9" s="266">
        <f>ROUND(12%*C9,0)</f>
        <v>5940</v>
      </c>
      <c r="F9" s="266">
        <v>0</v>
      </c>
      <c r="G9" s="266" t="str">
        <f>IF('मास्टर शीट '!E11="","",'मास्टर शीट '!E11)</f>
        <v/>
      </c>
      <c r="H9" s="266">
        <v>548</v>
      </c>
      <c r="I9" s="266">
        <f>IF('मास्टर शीट '!$E$8="GPF",0,ROUND(14%*(C9+E9),0))</f>
        <v>7762</v>
      </c>
      <c r="J9" s="266">
        <v>0</v>
      </c>
      <c r="K9" s="267">
        <f>SUM(C9:J9)</f>
        <v>63750</v>
      </c>
      <c r="L9" s="266">
        <f>IF('मास्टर शीट '!$E$8="GPF",'मास्टर शीट '!$E$9,ROUND(10%*(C9+E9),0))</f>
        <v>5544</v>
      </c>
      <c r="M9" s="266">
        <f>IF('मास्टर शीट '!C12="","",'मास्टर शीट '!C12)</f>
        <v>400</v>
      </c>
      <c r="N9" s="266">
        <v>0</v>
      </c>
      <c r="O9" s="266">
        <v>0</v>
      </c>
      <c r="P9" s="266">
        <v>0</v>
      </c>
      <c r="Q9" s="266">
        <f>IF('मास्टर शीट '!E12="","",'मास्टर शीट '!E12)</f>
        <v>208</v>
      </c>
      <c r="R9" s="266">
        <v>0</v>
      </c>
      <c r="S9" s="266">
        <v>0</v>
      </c>
      <c r="T9" s="268">
        <f>SUM(L9:S9)</f>
        <v>6152</v>
      </c>
      <c r="U9" s="266">
        <f>IF('मास्टर शीट '!$E$8="GPF",0,ROUND(14%*(C9+E9),0))</f>
        <v>7762</v>
      </c>
      <c r="V9" s="269">
        <f>SUM(K9-(T9+U9))</f>
        <v>49836</v>
      </c>
      <c r="W9" s="270">
        <f>SUM(U9,V9)</f>
        <v>57598</v>
      </c>
    </row>
    <row r="10" spans="1:24" ht="20.100000000000001" customHeight="1">
      <c r="A10" s="263">
        <v>2</v>
      </c>
      <c r="B10" s="264">
        <v>44307</v>
      </c>
      <c r="C10" s="265">
        <f>IF(C9="","",C9)</f>
        <v>49500</v>
      </c>
      <c r="D10" s="266">
        <v>0</v>
      </c>
      <c r="E10" s="266">
        <f t="shared" ref="E10:E15" si="0">ROUND(12%*C10,0)</f>
        <v>5940</v>
      </c>
      <c r="F10" s="265">
        <f>IF(F9="","",F9)</f>
        <v>0</v>
      </c>
      <c r="G10" s="265" t="str">
        <f>IF(G9="","",G9)</f>
        <v/>
      </c>
      <c r="H10" s="265">
        <f>IF(H9="","",H9)</f>
        <v>548</v>
      </c>
      <c r="I10" s="266">
        <f>IF('मास्टर शीट '!$E$8="GPF",0,ROUND(14%*(C10+E10),0))</f>
        <v>7762</v>
      </c>
      <c r="J10" s="266">
        <v>0</v>
      </c>
      <c r="K10" s="267">
        <f t="shared" ref="K10:K24" si="1">SUM(C10:J10)</f>
        <v>63750</v>
      </c>
      <c r="L10" s="266">
        <f>IF('मास्टर शीट '!$E$8="GPF",'मास्टर शीट '!$E$9,ROUND(10%*(C10+E10),0))</f>
        <v>5544</v>
      </c>
      <c r="M10" s="265">
        <f>IF(M9="","",M9)</f>
        <v>400</v>
      </c>
      <c r="N10" s="266">
        <v>0</v>
      </c>
      <c r="O10" s="265">
        <f>IF(O9="","",O9)</f>
        <v>0</v>
      </c>
      <c r="P10" s="265">
        <f>IF(P9="","",P9)</f>
        <v>0</v>
      </c>
      <c r="Q10" s="265">
        <f>IF(Q9="","",Q9)</f>
        <v>208</v>
      </c>
      <c r="R10" s="265">
        <f>IF(R9="","",R9)</f>
        <v>0</v>
      </c>
      <c r="S10" s="266">
        <v>0</v>
      </c>
      <c r="T10" s="268">
        <f t="shared" ref="T10:T24" si="2">SUM(L10:S10)</f>
        <v>6152</v>
      </c>
      <c r="U10" s="266">
        <f>IF('मास्टर शीट '!$E$8="GPF",0,ROUND(14%*(C10+E10),0))</f>
        <v>7762</v>
      </c>
      <c r="V10" s="269">
        <f t="shared" ref="V10:V23" si="3">SUM(K10-(T10+U10))</f>
        <v>49836</v>
      </c>
      <c r="W10" s="270">
        <f t="shared" ref="W10:W24" si="4">SUM(U10,V10)</f>
        <v>57598</v>
      </c>
    </row>
    <row r="11" spans="1:24" ht="20.100000000000001" customHeight="1">
      <c r="A11" s="263">
        <v>3</v>
      </c>
      <c r="B11" s="264">
        <v>44337</v>
      </c>
      <c r="C11" s="265">
        <f t="shared" ref="C11:C20" si="5">IF(C10="","",C10)</f>
        <v>49500</v>
      </c>
      <c r="D11" s="266">
        <v>0</v>
      </c>
      <c r="E11" s="266">
        <f t="shared" si="0"/>
        <v>5940</v>
      </c>
      <c r="F11" s="265">
        <f t="shared" ref="F11:F20" si="6">IF(F10="","",F10)</f>
        <v>0</v>
      </c>
      <c r="G11" s="265" t="str">
        <f t="shared" ref="G11:G20" si="7">IF(G10="","",G10)</f>
        <v/>
      </c>
      <c r="H11" s="265">
        <f t="shared" ref="H11:H20" si="8">IF(H10="","",H10)</f>
        <v>548</v>
      </c>
      <c r="I11" s="266">
        <f>IF('मास्टर शीट '!$E$8="GPF",0,ROUND(14%*(C11+E11),0))</f>
        <v>7762</v>
      </c>
      <c r="J11" s="266">
        <v>0</v>
      </c>
      <c r="K11" s="267">
        <f t="shared" si="1"/>
        <v>63750</v>
      </c>
      <c r="L11" s="266">
        <f>IF('मास्टर शीट '!$E$8="GPF",'मास्टर शीट '!$E$9,ROUND(10%*(C11+E11),0))</f>
        <v>5544</v>
      </c>
      <c r="M11" s="265">
        <f t="shared" ref="M11:M20" si="9">IF(M10="","",M10)</f>
        <v>400</v>
      </c>
      <c r="N11" s="266">
        <v>0</v>
      </c>
      <c r="O11" s="265">
        <f t="shared" ref="O11:O20" si="10">IF(O10="","",O10)</f>
        <v>0</v>
      </c>
      <c r="P11" s="265">
        <f t="shared" ref="P11:P20" si="11">IF(P10="","",P10)</f>
        <v>0</v>
      </c>
      <c r="Q11" s="265">
        <f t="shared" ref="Q11:R20" si="12">IF(Q10="","",Q10)</f>
        <v>208</v>
      </c>
      <c r="R11" s="265">
        <f t="shared" si="12"/>
        <v>0</v>
      </c>
      <c r="S11" s="266">
        <v>0</v>
      </c>
      <c r="T11" s="268">
        <f t="shared" si="2"/>
        <v>6152</v>
      </c>
      <c r="U11" s="266">
        <f>IF('मास्टर शीट '!$E$8="GPF",0,ROUND(14%*(C11+E11),0))</f>
        <v>7762</v>
      </c>
      <c r="V11" s="269">
        <f t="shared" si="3"/>
        <v>49836</v>
      </c>
      <c r="W11" s="270">
        <f t="shared" si="4"/>
        <v>57598</v>
      </c>
    </row>
    <row r="12" spans="1:24" ht="20.100000000000001" customHeight="1">
      <c r="A12" s="263">
        <v>4</v>
      </c>
      <c r="B12" s="264">
        <v>44348</v>
      </c>
      <c r="C12" s="265">
        <f t="shared" si="5"/>
        <v>49500</v>
      </c>
      <c r="D12" s="266">
        <v>0</v>
      </c>
      <c r="E12" s="266">
        <f t="shared" si="0"/>
        <v>5940</v>
      </c>
      <c r="F12" s="265">
        <f t="shared" si="6"/>
        <v>0</v>
      </c>
      <c r="G12" s="265" t="str">
        <f t="shared" si="7"/>
        <v/>
      </c>
      <c r="H12" s="265">
        <f t="shared" si="8"/>
        <v>548</v>
      </c>
      <c r="I12" s="266">
        <f>IF('मास्टर शीट '!$E$8="GPF",0,ROUND(14%*(C12+E12),0))</f>
        <v>7762</v>
      </c>
      <c r="J12" s="266">
        <v>0</v>
      </c>
      <c r="K12" s="267">
        <f t="shared" si="1"/>
        <v>63750</v>
      </c>
      <c r="L12" s="266">
        <f>IF('मास्टर शीट '!$E$8="GPF",'मास्टर शीट '!$E$9,ROUND(10%*(C12+E12),0))</f>
        <v>5544</v>
      </c>
      <c r="M12" s="265">
        <f t="shared" si="9"/>
        <v>400</v>
      </c>
      <c r="N12" s="266">
        <v>0</v>
      </c>
      <c r="O12" s="265">
        <f t="shared" si="10"/>
        <v>0</v>
      </c>
      <c r="P12" s="265">
        <f t="shared" si="11"/>
        <v>0</v>
      </c>
      <c r="Q12" s="265">
        <f t="shared" si="12"/>
        <v>208</v>
      </c>
      <c r="R12" s="265">
        <f t="shared" si="12"/>
        <v>0</v>
      </c>
      <c r="S12" s="266">
        <v>0</v>
      </c>
      <c r="T12" s="268">
        <f t="shared" si="2"/>
        <v>6152</v>
      </c>
      <c r="U12" s="266">
        <f>IF('मास्टर शीट '!$E$8="GPF",0,ROUND(14%*(C12+E12),0))</f>
        <v>7762</v>
      </c>
      <c r="V12" s="269">
        <f t="shared" si="3"/>
        <v>49836</v>
      </c>
      <c r="W12" s="270">
        <f t="shared" si="4"/>
        <v>57598</v>
      </c>
    </row>
    <row r="13" spans="1:24" ht="20.100000000000001" customHeight="1">
      <c r="A13" s="263">
        <v>5</v>
      </c>
      <c r="B13" s="264">
        <v>44378</v>
      </c>
      <c r="C13" s="265">
        <f>IF(C12="","",MROUND(ROUND(1.03*C12,0),100))</f>
        <v>51000</v>
      </c>
      <c r="D13" s="266">
        <v>0</v>
      </c>
      <c r="E13" s="266">
        <f t="shared" si="0"/>
        <v>6120</v>
      </c>
      <c r="F13" s="265">
        <f t="shared" si="6"/>
        <v>0</v>
      </c>
      <c r="G13" s="265" t="str">
        <f t="shared" si="7"/>
        <v/>
      </c>
      <c r="H13" s="265">
        <f t="shared" si="8"/>
        <v>548</v>
      </c>
      <c r="I13" s="266">
        <f>IF('मास्टर शीट '!$E$8="GPF",0,ROUND(14%*(C13+E13),0))</f>
        <v>7997</v>
      </c>
      <c r="J13" s="266">
        <v>0</v>
      </c>
      <c r="K13" s="267">
        <f t="shared" si="1"/>
        <v>65665</v>
      </c>
      <c r="L13" s="266">
        <f>IF('मास्टर शीट '!$E$8="GPF",'मास्टर शीट '!$E$9,ROUND(10%*(C13+E13),0))</f>
        <v>5712</v>
      </c>
      <c r="M13" s="265">
        <f t="shared" si="9"/>
        <v>400</v>
      </c>
      <c r="N13" s="266">
        <v>0</v>
      </c>
      <c r="O13" s="265">
        <f t="shared" si="10"/>
        <v>0</v>
      </c>
      <c r="P13" s="265">
        <f t="shared" si="11"/>
        <v>0</v>
      </c>
      <c r="Q13" s="265">
        <f t="shared" si="12"/>
        <v>208</v>
      </c>
      <c r="R13" s="265">
        <f t="shared" si="12"/>
        <v>0</v>
      </c>
      <c r="S13" s="266">
        <v>0</v>
      </c>
      <c r="T13" s="268">
        <f t="shared" si="2"/>
        <v>6320</v>
      </c>
      <c r="U13" s="266">
        <f>IF('मास्टर शीट '!$E$8="GPF",0,ROUND(14%*(C13+E13),0))</f>
        <v>7997</v>
      </c>
      <c r="V13" s="269">
        <f t="shared" si="3"/>
        <v>51348</v>
      </c>
      <c r="W13" s="270">
        <f t="shared" si="4"/>
        <v>59345</v>
      </c>
    </row>
    <row r="14" spans="1:24" ht="20.100000000000001" customHeight="1">
      <c r="A14" s="263">
        <v>6</v>
      </c>
      <c r="B14" s="264">
        <v>44409</v>
      </c>
      <c r="C14" s="265">
        <f t="shared" si="5"/>
        <v>51000</v>
      </c>
      <c r="D14" s="266">
        <v>0</v>
      </c>
      <c r="E14" s="266">
        <f t="shared" si="0"/>
        <v>6120</v>
      </c>
      <c r="F14" s="265">
        <f t="shared" si="6"/>
        <v>0</v>
      </c>
      <c r="G14" s="265" t="str">
        <f t="shared" si="7"/>
        <v/>
      </c>
      <c r="H14" s="265">
        <f t="shared" si="8"/>
        <v>548</v>
      </c>
      <c r="I14" s="266">
        <f>IF('मास्टर शीट '!$E$8="GPF",0,ROUND(14%*(C14+E14),0))</f>
        <v>7997</v>
      </c>
      <c r="J14" s="266">
        <v>0</v>
      </c>
      <c r="K14" s="267">
        <f t="shared" si="1"/>
        <v>65665</v>
      </c>
      <c r="L14" s="266">
        <f>IF('मास्टर शीट '!$E$8="GPF",'मास्टर शीट '!$E$9,ROUND(10%*(C14+E14),0))</f>
        <v>5712</v>
      </c>
      <c r="M14" s="265">
        <f t="shared" si="9"/>
        <v>400</v>
      </c>
      <c r="N14" s="266">
        <v>0</v>
      </c>
      <c r="O14" s="265">
        <f t="shared" si="10"/>
        <v>0</v>
      </c>
      <c r="P14" s="265">
        <f t="shared" si="11"/>
        <v>0</v>
      </c>
      <c r="Q14" s="265">
        <f t="shared" si="12"/>
        <v>208</v>
      </c>
      <c r="R14" s="265">
        <f t="shared" si="12"/>
        <v>0</v>
      </c>
      <c r="S14" s="266">
        <v>0</v>
      </c>
      <c r="T14" s="268">
        <f t="shared" si="2"/>
        <v>6320</v>
      </c>
      <c r="U14" s="266">
        <f>IF('मास्टर शीट '!$E$8="GPF",0,ROUND(14%*(C14+E14),0))</f>
        <v>7997</v>
      </c>
      <c r="V14" s="269">
        <f t="shared" si="3"/>
        <v>51348</v>
      </c>
      <c r="W14" s="270">
        <f t="shared" si="4"/>
        <v>59345</v>
      </c>
    </row>
    <row r="15" spans="1:24" ht="20.100000000000001" customHeight="1">
      <c r="A15" s="263">
        <v>7</v>
      </c>
      <c r="B15" s="264">
        <v>44440</v>
      </c>
      <c r="C15" s="265">
        <f t="shared" si="5"/>
        <v>51000</v>
      </c>
      <c r="D15" s="266">
        <v>0</v>
      </c>
      <c r="E15" s="266">
        <f t="shared" si="0"/>
        <v>6120</v>
      </c>
      <c r="F15" s="265">
        <f t="shared" si="6"/>
        <v>0</v>
      </c>
      <c r="G15" s="265" t="str">
        <f t="shared" si="7"/>
        <v/>
      </c>
      <c r="H15" s="265">
        <f t="shared" si="8"/>
        <v>548</v>
      </c>
      <c r="I15" s="266">
        <f>IF('मास्टर शीट '!$E$8="GPF",0,ROUND(14%*(C15+E15),0))</f>
        <v>7997</v>
      </c>
      <c r="J15" s="266">
        <v>0</v>
      </c>
      <c r="K15" s="267">
        <f t="shared" si="1"/>
        <v>65665</v>
      </c>
      <c r="L15" s="266">
        <f>IF('मास्टर शीट '!$E$8="GPF",'मास्टर शीट '!$E$9,ROUND(10%*(C15+E15),0))</f>
        <v>5712</v>
      </c>
      <c r="M15" s="265">
        <f t="shared" si="9"/>
        <v>400</v>
      </c>
      <c r="N15" s="266">
        <v>0</v>
      </c>
      <c r="O15" s="265">
        <f t="shared" si="10"/>
        <v>0</v>
      </c>
      <c r="P15" s="265">
        <f t="shared" si="11"/>
        <v>0</v>
      </c>
      <c r="Q15" s="265">
        <f t="shared" si="12"/>
        <v>208</v>
      </c>
      <c r="R15" s="265">
        <f t="shared" si="12"/>
        <v>0</v>
      </c>
      <c r="S15" s="266">
        <v>0</v>
      </c>
      <c r="T15" s="268">
        <f t="shared" si="2"/>
        <v>6320</v>
      </c>
      <c r="U15" s="266">
        <f>IF('मास्टर शीट '!$E$8="GPF",0,ROUND(14%*(C15+E15),0))</f>
        <v>7997</v>
      </c>
      <c r="V15" s="269">
        <f t="shared" si="3"/>
        <v>51348</v>
      </c>
      <c r="W15" s="270">
        <f t="shared" si="4"/>
        <v>59345</v>
      </c>
    </row>
    <row r="16" spans="1:24" ht="20.100000000000001" customHeight="1">
      <c r="A16" s="263">
        <v>8</v>
      </c>
      <c r="B16" s="264">
        <v>44470</v>
      </c>
      <c r="C16" s="265">
        <f t="shared" si="5"/>
        <v>51000</v>
      </c>
      <c r="D16" s="266">
        <v>0</v>
      </c>
      <c r="E16" s="266">
        <f>ROUND(20%*C16,0)</f>
        <v>10200</v>
      </c>
      <c r="F16" s="265">
        <f t="shared" si="6"/>
        <v>0</v>
      </c>
      <c r="G16" s="265" t="str">
        <f t="shared" si="7"/>
        <v/>
      </c>
      <c r="H16" s="265">
        <f t="shared" si="8"/>
        <v>548</v>
      </c>
      <c r="I16" s="266">
        <f>IF('मास्टर शीट '!$E$8="GPF",0,ROUND(14%*(C16+E16),0))</f>
        <v>8568</v>
      </c>
      <c r="J16" s="266">
        <v>0</v>
      </c>
      <c r="K16" s="267">
        <f t="shared" si="1"/>
        <v>70316</v>
      </c>
      <c r="L16" s="266">
        <f>IF('मास्टर शीट '!$E$8="GPF",'मास्टर शीट '!$E$9,ROUND(10%*(C16+E16),0))</f>
        <v>6120</v>
      </c>
      <c r="M16" s="265">
        <f t="shared" si="9"/>
        <v>400</v>
      </c>
      <c r="N16" s="266">
        <v>0</v>
      </c>
      <c r="O16" s="265">
        <f t="shared" si="10"/>
        <v>0</v>
      </c>
      <c r="P16" s="265">
        <f t="shared" si="11"/>
        <v>0</v>
      </c>
      <c r="Q16" s="265">
        <f t="shared" si="12"/>
        <v>208</v>
      </c>
      <c r="R16" s="265">
        <f t="shared" si="12"/>
        <v>0</v>
      </c>
      <c r="S16" s="266">
        <v>0</v>
      </c>
      <c r="T16" s="268">
        <f t="shared" si="2"/>
        <v>6728</v>
      </c>
      <c r="U16" s="266">
        <f>IF('मास्टर शीट '!$E$8="GPF",0,ROUND(14%*(C16+E16),0))</f>
        <v>8568</v>
      </c>
      <c r="V16" s="269">
        <f t="shared" si="3"/>
        <v>55020</v>
      </c>
      <c r="W16" s="270">
        <f t="shared" si="4"/>
        <v>63588</v>
      </c>
    </row>
    <row r="17" spans="1:25" ht="20.100000000000001" customHeight="1">
      <c r="A17" s="263">
        <v>9</v>
      </c>
      <c r="B17" s="264">
        <v>44501</v>
      </c>
      <c r="C17" s="265">
        <f t="shared" si="5"/>
        <v>51000</v>
      </c>
      <c r="D17" s="266">
        <v>0</v>
      </c>
      <c r="E17" s="266">
        <f t="shared" ref="E17:E20" si="13">ROUND(20%*C17,0)</f>
        <v>10200</v>
      </c>
      <c r="F17" s="265">
        <f t="shared" si="6"/>
        <v>0</v>
      </c>
      <c r="G17" s="265" t="str">
        <f t="shared" si="7"/>
        <v/>
      </c>
      <c r="H17" s="265">
        <f t="shared" si="8"/>
        <v>548</v>
      </c>
      <c r="I17" s="266">
        <f>IF('मास्टर शीट '!$E$8="GPF",0,ROUND(14%*(C17+E17),0))</f>
        <v>8568</v>
      </c>
      <c r="J17" s="266">
        <v>0</v>
      </c>
      <c r="K17" s="267">
        <f t="shared" si="1"/>
        <v>70316</v>
      </c>
      <c r="L17" s="266">
        <f>IF('मास्टर शीट '!$E$8="GPF",'मास्टर शीट '!$E$9,ROUND(10%*(C17+E17),0))</f>
        <v>6120</v>
      </c>
      <c r="M17" s="265">
        <f t="shared" si="9"/>
        <v>400</v>
      </c>
      <c r="N17" s="266">
        <v>0</v>
      </c>
      <c r="O17" s="265">
        <f t="shared" si="10"/>
        <v>0</v>
      </c>
      <c r="P17" s="265">
        <f t="shared" si="11"/>
        <v>0</v>
      </c>
      <c r="Q17" s="265">
        <f t="shared" si="12"/>
        <v>208</v>
      </c>
      <c r="R17" s="265">
        <f t="shared" si="12"/>
        <v>0</v>
      </c>
      <c r="S17" s="266">
        <v>0</v>
      </c>
      <c r="T17" s="268">
        <f t="shared" si="2"/>
        <v>6728</v>
      </c>
      <c r="U17" s="266">
        <f>IF('मास्टर शीट '!$E$8="GPF",0,ROUND(14%*(C17+E17),0))</f>
        <v>8568</v>
      </c>
      <c r="V17" s="269">
        <f t="shared" si="3"/>
        <v>55020</v>
      </c>
      <c r="W17" s="270">
        <f t="shared" si="4"/>
        <v>63588</v>
      </c>
    </row>
    <row r="18" spans="1:25" ht="20.100000000000001" customHeight="1">
      <c r="A18" s="263">
        <v>10</v>
      </c>
      <c r="B18" s="264">
        <v>44531</v>
      </c>
      <c r="C18" s="265">
        <f t="shared" si="5"/>
        <v>51000</v>
      </c>
      <c r="D18" s="266">
        <v>0</v>
      </c>
      <c r="E18" s="266">
        <f t="shared" si="13"/>
        <v>10200</v>
      </c>
      <c r="F18" s="265">
        <f t="shared" si="6"/>
        <v>0</v>
      </c>
      <c r="G18" s="265" t="str">
        <f t="shared" si="7"/>
        <v/>
      </c>
      <c r="H18" s="265">
        <f t="shared" si="8"/>
        <v>548</v>
      </c>
      <c r="I18" s="266">
        <f>IF('मास्टर शीट '!$E$8="GPF",0,ROUND(14%*(C18+E18),0))</f>
        <v>8568</v>
      </c>
      <c r="J18" s="266">
        <v>0</v>
      </c>
      <c r="K18" s="267">
        <f t="shared" si="1"/>
        <v>70316</v>
      </c>
      <c r="L18" s="266">
        <f>IF('मास्टर शीट '!$E$8="GPF",'मास्टर शीट '!$E$9,ROUND(10%*(C18+E18),0))</f>
        <v>6120</v>
      </c>
      <c r="M18" s="265">
        <f t="shared" si="9"/>
        <v>400</v>
      </c>
      <c r="N18" s="266">
        <v>0</v>
      </c>
      <c r="O18" s="265">
        <f t="shared" si="10"/>
        <v>0</v>
      </c>
      <c r="P18" s="265">
        <f t="shared" si="11"/>
        <v>0</v>
      </c>
      <c r="Q18" s="265">
        <f t="shared" si="12"/>
        <v>208</v>
      </c>
      <c r="R18" s="265">
        <f t="shared" si="12"/>
        <v>0</v>
      </c>
      <c r="S18" s="266">
        <v>0</v>
      </c>
      <c r="T18" s="268">
        <f t="shared" si="2"/>
        <v>6728</v>
      </c>
      <c r="U18" s="266">
        <f>IF('मास्टर शीट '!$E$8="GPF",0,ROUND(14%*(C18+E18),0))</f>
        <v>8568</v>
      </c>
      <c r="V18" s="269">
        <f t="shared" si="3"/>
        <v>55020</v>
      </c>
      <c r="W18" s="270">
        <f t="shared" si="4"/>
        <v>63588</v>
      </c>
    </row>
    <row r="19" spans="1:25" ht="20.100000000000001" customHeight="1">
      <c r="A19" s="263">
        <v>11</v>
      </c>
      <c r="B19" s="264">
        <v>44562</v>
      </c>
      <c r="C19" s="265">
        <f t="shared" si="5"/>
        <v>51000</v>
      </c>
      <c r="D19" s="266">
        <v>0</v>
      </c>
      <c r="E19" s="266">
        <f t="shared" si="13"/>
        <v>10200</v>
      </c>
      <c r="F19" s="265">
        <f t="shared" si="6"/>
        <v>0</v>
      </c>
      <c r="G19" s="265" t="str">
        <f t="shared" si="7"/>
        <v/>
      </c>
      <c r="H19" s="265">
        <f t="shared" si="8"/>
        <v>548</v>
      </c>
      <c r="I19" s="266">
        <f>IF('मास्टर शीट '!$E$8="GPF",0,ROUND(14%*(C19+E19),0))</f>
        <v>8568</v>
      </c>
      <c r="J19" s="266">
        <v>0</v>
      </c>
      <c r="K19" s="267">
        <f t="shared" si="1"/>
        <v>70316</v>
      </c>
      <c r="L19" s="266">
        <f>IF('मास्टर शीट '!$E$8="GPF",'मास्टर शीट '!$E$9,ROUND(10%*(C19+E19),0))</f>
        <v>6120</v>
      </c>
      <c r="M19" s="265">
        <f t="shared" si="9"/>
        <v>400</v>
      </c>
      <c r="N19" s="266">
        <v>0</v>
      </c>
      <c r="O19" s="265">
        <f t="shared" si="10"/>
        <v>0</v>
      </c>
      <c r="P19" s="265">
        <f t="shared" si="11"/>
        <v>0</v>
      </c>
      <c r="Q19" s="265">
        <f t="shared" si="12"/>
        <v>208</v>
      </c>
      <c r="R19" s="265">
        <f t="shared" si="12"/>
        <v>0</v>
      </c>
      <c r="S19" s="266">
        <v>0</v>
      </c>
      <c r="T19" s="268">
        <f t="shared" si="2"/>
        <v>6728</v>
      </c>
      <c r="U19" s="266">
        <f>IF('मास्टर शीट '!$E$8="GPF",0,ROUND(14%*(C19+E19),0))</f>
        <v>8568</v>
      </c>
      <c r="V19" s="269">
        <f t="shared" si="3"/>
        <v>55020</v>
      </c>
      <c r="W19" s="270">
        <f t="shared" si="4"/>
        <v>63588</v>
      </c>
      <c r="Y19" s="50"/>
    </row>
    <row r="20" spans="1:25" ht="20.100000000000001" customHeight="1">
      <c r="A20" s="263">
        <v>12</v>
      </c>
      <c r="B20" s="264">
        <v>44593</v>
      </c>
      <c r="C20" s="265">
        <f t="shared" si="5"/>
        <v>51000</v>
      </c>
      <c r="D20" s="266">
        <v>0</v>
      </c>
      <c r="E20" s="266">
        <f t="shared" si="13"/>
        <v>10200</v>
      </c>
      <c r="F20" s="265">
        <f t="shared" si="6"/>
        <v>0</v>
      </c>
      <c r="G20" s="265" t="str">
        <f t="shared" si="7"/>
        <v/>
      </c>
      <c r="H20" s="265">
        <f t="shared" si="8"/>
        <v>548</v>
      </c>
      <c r="I20" s="266">
        <f>IF('मास्टर शीट '!$E$8="GPF",0,ROUND(14%*(C20+E20),0))</f>
        <v>8568</v>
      </c>
      <c r="J20" s="266">
        <v>0</v>
      </c>
      <c r="K20" s="267">
        <f t="shared" si="1"/>
        <v>70316</v>
      </c>
      <c r="L20" s="266">
        <f>IF('मास्टर शीट '!$E$8="GPF",'मास्टर शीट '!$E$9,ROUND(10%*(C20+E20),0))</f>
        <v>6120</v>
      </c>
      <c r="M20" s="265">
        <f t="shared" si="9"/>
        <v>400</v>
      </c>
      <c r="N20" s="266">
        <v>0</v>
      </c>
      <c r="O20" s="265">
        <f t="shared" si="10"/>
        <v>0</v>
      </c>
      <c r="P20" s="265">
        <f t="shared" si="11"/>
        <v>0</v>
      </c>
      <c r="Q20" s="265">
        <f t="shared" si="12"/>
        <v>208</v>
      </c>
      <c r="R20" s="265">
        <f>IF(R19="","",R19)</f>
        <v>0</v>
      </c>
      <c r="S20" s="266">
        <v>0</v>
      </c>
      <c r="T20" s="268">
        <f t="shared" si="2"/>
        <v>6728</v>
      </c>
      <c r="U20" s="266">
        <f>IF('मास्टर शीट '!$E$8="GPF",0,ROUND(14%*(C20+E20),0))</f>
        <v>8568</v>
      </c>
      <c r="V20" s="269">
        <f t="shared" si="3"/>
        <v>55020</v>
      </c>
      <c r="W20" s="270">
        <f t="shared" si="4"/>
        <v>63588</v>
      </c>
    </row>
    <row r="21" spans="1:25" ht="20.100000000000001" customHeight="1">
      <c r="A21" s="263">
        <v>13</v>
      </c>
      <c r="B21" s="264" t="s">
        <v>185</v>
      </c>
      <c r="C21" s="266"/>
      <c r="D21" s="266"/>
      <c r="E21" s="266"/>
      <c r="F21" s="266"/>
      <c r="G21" s="266"/>
      <c r="H21" s="266"/>
      <c r="I21" s="266"/>
      <c r="J21" s="266"/>
      <c r="K21" s="267">
        <f t="shared" si="1"/>
        <v>0</v>
      </c>
      <c r="L21" s="266"/>
      <c r="M21" s="266"/>
      <c r="N21" s="266"/>
      <c r="O21" s="266"/>
      <c r="P21" s="266"/>
      <c r="Q21" s="266"/>
      <c r="R21" s="266"/>
      <c r="S21" s="266"/>
      <c r="T21" s="268">
        <f t="shared" si="2"/>
        <v>0</v>
      </c>
      <c r="U21" s="266"/>
      <c r="V21" s="269">
        <f t="shared" si="3"/>
        <v>0</v>
      </c>
      <c r="W21" s="270">
        <f t="shared" si="4"/>
        <v>0</v>
      </c>
    </row>
    <row r="22" spans="1:25" ht="20.100000000000001" customHeight="1">
      <c r="A22" s="263">
        <v>14</v>
      </c>
      <c r="B22" s="271"/>
      <c r="C22" s="266"/>
      <c r="D22" s="266"/>
      <c r="E22" s="266"/>
      <c r="F22" s="266"/>
      <c r="G22" s="266"/>
      <c r="H22" s="266"/>
      <c r="I22" s="266"/>
      <c r="J22" s="266"/>
      <c r="K22" s="267">
        <f t="shared" si="1"/>
        <v>0</v>
      </c>
      <c r="L22" s="266"/>
      <c r="M22" s="266"/>
      <c r="N22" s="266"/>
      <c r="O22" s="266"/>
      <c r="P22" s="266"/>
      <c r="Q22" s="266"/>
      <c r="R22" s="266"/>
      <c r="S22" s="266"/>
      <c r="T22" s="268">
        <f t="shared" si="2"/>
        <v>0</v>
      </c>
      <c r="U22" s="266"/>
      <c r="V22" s="269">
        <f t="shared" si="3"/>
        <v>0</v>
      </c>
      <c r="W22" s="270">
        <f t="shared" si="4"/>
        <v>0</v>
      </c>
    </row>
    <row r="23" spans="1:25" ht="20.100000000000001" customHeight="1">
      <c r="A23" s="263">
        <v>15</v>
      </c>
      <c r="B23" s="271"/>
      <c r="C23" s="266"/>
      <c r="D23" s="266"/>
      <c r="E23" s="266"/>
      <c r="F23" s="266"/>
      <c r="G23" s="266"/>
      <c r="H23" s="266"/>
      <c r="I23" s="266"/>
      <c r="J23" s="266"/>
      <c r="K23" s="267">
        <f t="shared" si="1"/>
        <v>0</v>
      </c>
      <c r="L23" s="266"/>
      <c r="M23" s="266"/>
      <c r="N23" s="266"/>
      <c r="O23" s="266"/>
      <c r="P23" s="266"/>
      <c r="Q23" s="266"/>
      <c r="R23" s="266"/>
      <c r="S23" s="266"/>
      <c r="T23" s="268">
        <f t="shared" si="2"/>
        <v>0</v>
      </c>
      <c r="U23" s="266"/>
      <c r="V23" s="269">
        <f t="shared" si="3"/>
        <v>0</v>
      </c>
      <c r="W23" s="270">
        <f t="shared" si="4"/>
        <v>0</v>
      </c>
    </row>
    <row r="24" spans="1:25" ht="20.100000000000001" customHeight="1">
      <c r="A24" s="272">
        <v>16</v>
      </c>
      <c r="B24" s="271"/>
      <c r="C24" s="266"/>
      <c r="D24" s="266"/>
      <c r="E24" s="266"/>
      <c r="F24" s="266"/>
      <c r="G24" s="266"/>
      <c r="H24" s="266"/>
      <c r="I24" s="266"/>
      <c r="J24" s="266"/>
      <c r="K24" s="267">
        <f t="shared" si="1"/>
        <v>0</v>
      </c>
      <c r="L24" s="266"/>
      <c r="M24" s="266"/>
      <c r="N24" s="266"/>
      <c r="O24" s="266"/>
      <c r="P24" s="266"/>
      <c r="Q24" s="266"/>
      <c r="R24" s="266"/>
      <c r="S24" s="266"/>
      <c r="T24" s="268">
        <f t="shared" si="2"/>
        <v>0</v>
      </c>
      <c r="U24" s="266"/>
      <c r="V24" s="269">
        <f>SUM(K24-(T24+U24))</f>
        <v>0</v>
      </c>
      <c r="W24" s="270">
        <f t="shared" si="4"/>
        <v>0</v>
      </c>
    </row>
    <row r="25" spans="1:25" s="166" customFormat="1" ht="20.100000000000001" customHeight="1">
      <c r="A25" s="76" t="s">
        <v>19</v>
      </c>
      <c r="B25" s="76"/>
      <c r="C25" s="247">
        <f>SUM(C9:C24)</f>
        <v>606000</v>
      </c>
      <c r="D25" s="247">
        <f t="shared" ref="D25:W25" si="14">SUM(D9:D24)</f>
        <v>0</v>
      </c>
      <c r="E25" s="247">
        <f t="shared" si="14"/>
        <v>93120</v>
      </c>
      <c r="F25" s="247">
        <f t="shared" si="14"/>
        <v>0</v>
      </c>
      <c r="G25" s="247">
        <f t="shared" si="14"/>
        <v>0</v>
      </c>
      <c r="H25" s="247">
        <f t="shared" si="14"/>
        <v>6576</v>
      </c>
      <c r="I25" s="247">
        <f t="shared" si="14"/>
        <v>97879</v>
      </c>
      <c r="J25" s="247">
        <f t="shared" si="14"/>
        <v>0</v>
      </c>
      <c r="K25" s="247">
        <f>SUM(K9:K24)</f>
        <v>803575</v>
      </c>
      <c r="L25" s="247">
        <f t="shared" si="14"/>
        <v>69912</v>
      </c>
      <c r="M25" s="247">
        <f t="shared" si="14"/>
        <v>4800</v>
      </c>
      <c r="N25" s="247">
        <f t="shared" si="14"/>
        <v>0</v>
      </c>
      <c r="O25" s="247">
        <f t="shared" si="14"/>
        <v>0</v>
      </c>
      <c r="P25" s="247">
        <f t="shared" si="14"/>
        <v>0</v>
      </c>
      <c r="Q25" s="247">
        <f t="shared" si="14"/>
        <v>2496</v>
      </c>
      <c r="R25" s="247">
        <f t="shared" si="14"/>
        <v>0</v>
      </c>
      <c r="S25" s="247">
        <f t="shared" si="14"/>
        <v>0</v>
      </c>
      <c r="T25" s="247">
        <f t="shared" si="14"/>
        <v>77208</v>
      </c>
      <c r="U25" s="247">
        <f t="shared" si="14"/>
        <v>97879</v>
      </c>
      <c r="V25" s="247">
        <f t="shared" si="14"/>
        <v>628488</v>
      </c>
      <c r="W25" s="247">
        <f>SUM(W9:W24)</f>
        <v>726367</v>
      </c>
    </row>
    <row r="26" spans="1:25">
      <c r="B26" s="6"/>
      <c r="C26" s="7"/>
      <c r="D26" s="2"/>
      <c r="E26" s="2"/>
      <c r="F26" s="3"/>
      <c r="G26" s="3"/>
      <c r="H26" s="3"/>
      <c r="I26" s="2"/>
      <c r="J26" s="3"/>
      <c r="K26" s="4"/>
      <c r="L26" s="2"/>
      <c r="M26" s="3"/>
      <c r="N26" s="3"/>
      <c r="O26" s="3"/>
      <c r="P26" s="3"/>
      <c r="Q26" s="2"/>
      <c r="R26" s="3"/>
      <c r="S26" s="2"/>
      <c r="T26" s="2"/>
      <c r="U26" s="5"/>
    </row>
    <row r="27" spans="1:25">
      <c r="B27" s="8"/>
      <c r="C27" s="9"/>
      <c r="R27" s="273"/>
      <c r="S27" s="273"/>
      <c r="T27" s="273"/>
      <c r="U27" s="273"/>
      <c r="V27" s="273"/>
    </row>
    <row r="28" spans="1:25" ht="18.75">
      <c r="B28" s="8"/>
      <c r="C28" s="216" t="str">
        <f>IF('मास्टर शीट '!C4="","",UPPER('मास्टर शीट '!C4))</f>
        <v>HEERALAL JAT</v>
      </c>
      <c r="D28" s="216"/>
      <c r="E28" s="216"/>
      <c r="F28" s="216"/>
      <c r="G28" s="216"/>
      <c r="H28" s="216"/>
      <c r="R28" s="274" t="s">
        <v>20</v>
      </c>
      <c r="S28" s="274"/>
      <c r="T28" s="274"/>
      <c r="U28" s="274"/>
      <c r="V28" s="274"/>
    </row>
    <row r="29" spans="1:25" ht="18.75">
      <c r="B29" s="1"/>
      <c r="C29" s="217" t="s">
        <v>230</v>
      </c>
      <c r="D29" s="217"/>
      <c r="E29" s="217"/>
      <c r="F29" s="217"/>
      <c r="G29" s="217"/>
      <c r="H29" s="217"/>
      <c r="R29" s="274" t="s">
        <v>21</v>
      </c>
      <c r="S29" s="274"/>
      <c r="T29" s="274"/>
      <c r="U29" s="274"/>
      <c r="V29" s="274"/>
    </row>
    <row r="30" spans="1:25" ht="15.75">
      <c r="B30" s="1"/>
      <c r="R30" s="274" t="s">
        <v>27</v>
      </c>
      <c r="S30" s="274"/>
      <c r="T30" s="274"/>
      <c r="U30" s="274"/>
      <c r="V30" s="274"/>
    </row>
    <row r="31" spans="1:25">
      <c r="B31" s="1"/>
    </row>
  </sheetData>
  <sheetProtection password="8108" sheet="1" objects="1" scenarios="1" formatColumns="0" formatRows="0"/>
  <mergeCells count="31">
    <mergeCell ref="C28:H28"/>
    <mergeCell ref="C29:H29"/>
    <mergeCell ref="R27:V27"/>
    <mergeCell ref="R29:V29"/>
    <mergeCell ref="R30:V30"/>
    <mergeCell ref="R28:V28"/>
    <mergeCell ref="A25:B25"/>
    <mergeCell ref="A4:B4"/>
    <mergeCell ref="C5:F5"/>
    <mergeCell ref="G5:I5"/>
    <mergeCell ref="O5:S5"/>
    <mergeCell ref="T5:W5"/>
    <mergeCell ref="K4:N4"/>
    <mergeCell ref="O4:W4"/>
    <mergeCell ref="A7:A8"/>
    <mergeCell ref="B1:W1"/>
    <mergeCell ref="B2:W2"/>
    <mergeCell ref="B7:B8"/>
    <mergeCell ref="C7:J7"/>
    <mergeCell ref="K7:K8"/>
    <mergeCell ref="L7:S7"/>
    <mergeCell ref="T7:T8"/>
    <mergeCell ref="U7:V7"/>
    <mergeCell ref="W7:W8"/>
    <mergeCell ref="C3:F3"/>
    <mergeCell ref="G3:H3"/>
    <mergeCell ref="I3:M3"/>
    <mergeCell ref="N3:R3"/>
    <mergeCell ref="S3:W3"/>
    <mergeCell ref="C4:J4"/>
    <mergeCell ref="J5:N5"/>
  </mergeCells>
  <pageMargins left="0.3" right="0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showGridLines="0" topLeftCell="B1" workbookViewId="0">
      <selection activeCell="E20" sqref="E20"/>
    </sheetView>
  </sheetViews>
  <sheetFormatPr defaultColWidth="0" defaultRowHeight="15" customHeight="1" zeroHeight="1"/>
  <cols>
    <col min="1" max="1" width="9" style="182" customWidth="1"/>
    <col min="2" max="2" width="3.5" style="182" customWidth="1"/>
    <col min="3" max="3" width="59" style="182" customWidth="1"/>
    <col min="4" max="4" width="6.25" style="182" customWidth="1"/>
    <col min="5" max="5" width="18.625" style="182" customWidth="1"/>
    <col min="6" max="6" width="3.375" style="182" customWidth="1"/>
    <col min="7" max="7" width="70.75" style="182" customWidth="1"/>
    <col min="8" max="8" width="8.125" style="182" customWidth="1"/>
    <col min="9" max="9" width="16.625" style="182" customWidth="1"/>
    <col min="10" max="10" width="3.375" style="182" customWidth="1"/>
    <col min="11" max="11" width="9" style="182" customWidth="1"/>
    <col min="12" max="16384" width="9" style="182" hidden="1"/>
  </cols>
  <sheetData>
    <row r="1" spans="1:11" ht="37.5" customHeight="1">
      <c r="A1" s="179" t="s">
        <v>187</v>
      </c>
      <c r="B1" s="180"/>
      <c r="C1" s="180"/>
      <c r="D1" s="181"/>
      <c r="E1" s="181"/>
      <c r="F1" s="181"/>
      <c r="G1" s="181"/>
      <c r="H1" s="181"/>
      <c r="I1" s="181"/>
      <c r="J1" s="181"/>
      <c r="K1" s="181"/>
    </row>
    <row r="2" spans="1:11" ht="18.75" customHeight="1">
      <c r="A2" s="181"/>
      <c r="B2" s="183" t="s">
        <v>188</v>
      </c>
      <c r="C2" s="183"/>
      <c r="D2" s="181"/>
      <c r="E2" s="181"/>
      <c r="F2" s="181"/>
      <c r="G2" s="181"/>
      <c r="H2" s="181"/>
      <c r="I2" s="181"/>
      <c r="J2" s="181"/>
      <c r="K2" s="181"/>
    </row>
    <row r="3" spans="1:11" ht="27" customHeight="1">
      <c r="A3" s="181"/>
      <c r="B3" s="181"/>
      <c r="C3" s="184" t="s">
        <v>189</v>
      </c>
      <c r="D3" s="184"/>
      <c r="E3" s="184"/>
      <c r="F3" s="184"/>
      <c r="G3" s="184"/>
      <c r="H3" s="184"/>
      <c r="I3" s="184"/>
      <c r="J3" s="181"/>
      <c r="K3" s="181"/>
    </row>
    <row r="4" spans="1:11" ht="15.7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.75" customHeight="1">
      <c r="A5" s="181"/>
      <c r="B5" s="185"/>
      <c r="C5" s="186"/>
      <c r="D5" s="186"/>
      <c r="E5" s="186"/>
      <c r="F5" s="186"/>
      <c r="G5" s="186"/>
      <c r="H5" s="186"/>
      <c r="I5" s="186"/>
      <c r="J5" s="185"/>
      <c r="K5" s="181"/>
    </row>
    <row r="6" spans="1:11" ht="24.95" customHeight="1">
      <c r="A6" s="181"/>
      <c r="B6" s="187"/>
      <c r="C6" s="201" t="s">
        <v>190</v>
      </c>
      <c r="D6" s="202"/>
      <c r="E6" s="188">
        <v>0</v>
      </c>
      <c r="F6" s="189"/>
      <c r="G6" s="205" t="s">
        <v>191</v>
      </c>
      <c r="H6" s="205"/>
      <c r="I6" s="188"/>
      <c r="J6" s="190"/>
      <c r="K6" s="181"/>
    </row>
    <row r="7" spans="1:11" ht="24.95" customHeight="1">
      <c r="A7" s="181"/>
      <c r="B7" s="187"/>
      <c r="C7" s="203" t="s">
        <v>228</v>
      </c>
      <c r="D7" s="204"/>
      <c r="E7" s="188">
        <v>50000</v>
      </c>
      <c r="F7" s="189"/>
      <c r="G7" s="205" t="s">
        <v>192</v>
      </c>
      <c r="H7" s="205"/>
      <c r="I7" s="188"/>
      <c r="J7" s="190"/>
      <c r="K7" s="181"/>
    </row>
    <row r="8" spans="1:11" ht="24.95" customHeight="1">
      <c r="A8" s="181"/>
      <c r="B8" s="187"/>
      <c r="C8" s="203" t="s">
        <v>193</v>
      </c>
      <c r="D8" s="204"/>
      <c r="E8" s="188"/>
      <c r="F8" s="189"/>
      <c r="G8" s="206" t="s">
        <v>194</v>
      </c>
      <c r="H8" s="206"/>
      <c r="I8" s="188"/>
      <c r="J8" s="190"/>
      <c r="K8" s="181"/>
    </row>
    <row r="9" spans="1:11" ht="24.95" customHeight="1">
      <c r="A9" s="181"/>
      <c r="B9" s="187"/>
      <c r="C9" s="203" t="s">
        <v>195</v>
      </c>
      <c r="D9" s="204"/>
      <c r="E9" s="188">
        <v>2500</v>
      </c>
      <c r="F9" s="189"/>
      <c r="G9" s="206" t="s">
        <v>196</v>
      </c>
      <c r="H9" s="206"/>
      <c r="I9" s="188"/>
      <c r="J9" s="190"/>
      <c r="K9" s="181"/>
    </row>
    <row r="10" spans="1:11" ht="24.95" customHeight="1">
      <c r="A10" s="181"/>
      <c r="B10" s="187"/>
      <c r="C10" s="203" t="s">
        <v>197</v>
      </c>
      <c r="D10" s="204"/>
      <c r="E10" s="188"/>
      <c r="F10" s="189"/>
      <c r="G10" s="206" t="s">
        <v>198</v>
      </c>
      <c r="H10" s="206"/>
      <c r="I10" s="188"/>
      <c r="J10" s="190"/>
      <c r="K10" s="181"/>
    </row>
    <row r="11" spans="1:11" ht="33" customHeight="1">
      <c r="A11" s="181"/>
      <c r="B11" s="187"/>
      <c r="C11" s="203" t="s">
        <v>199</v>
      </c>
      <c r="D11" s="204"/>
      <c r="E11" s="188"/>
      <c r="F11" s="189"/>
      <c r="G11" s="207" t="s">
        <v>200</v>
      </c>
      <c r="H11" s="207"/>
      <c r="I11" s="188"/>
      <c r="J11" s="190"/>
      <c r="K11" s="181"/>
    </row>
    <row r="12" spans="1:11" ht="24.95" customHeight="1">
      <c r="A12" s="181"/>
      <c r="B12" s="187"/>
      <c r="C12" s="196" t="s">
        <v>201</v>
      </c>
      <c r="D12" s="197"/>
      <c r="E12" s="188">
        <v>125985</v>
      </c>
      <c r="F12" s="189"/>
      <c r="G12" s="205" t="s">
        <v>202</v>
      </c>
      <c r="H12" s="205"/>
      <c r="I12" s="188"/>
      <c r="J12" s="190"/>
      <c r="K12" s="181"/>
    </row>
    <row r="13" spans="1:11" ht="24.95" customHeight="1">
      <c r="A13" s="181"/>
      <c r="B13" s="187"/>
      <c r="C13" s="220" t="s">
        <v>203</v>
      </c>
      <c r="D13" s="221"/>
      <c r="E13" s="188">
        <v>53667</v>
      </c>
      <c r="F13" s="189"/>
      <c r="G13" s="205" t="s">
        <v>204</v>
      </c>
      <c r="H13" s="205"/>
      <c r="I13" s="188"/>
      <c r="J13" s="190"/>
      <c r="K13" s="181"/>
    </row>
    <row r="14" spans="1:11" ht="24.95" customHeight="1">
      <c r="A14" s="181"/>
      <c r="B14" s="187"/>
      <c r="C14" s="214" t="s">
        <v>229</v>
      </c>
      <c r="D14" s="215"/>
      <c r="E14" s="188">
        <v>14008</v>
      </c>
      <c r="F14" s="189"/>
      <c r="G14" s="207" t="s">
        <v>205</v>
      </c>
      <c r="H14" s="207"/>
      <c r="I14" s="188">
        <v>50000</v>
      </c>
      <c r="J14" s="190"/>
      <c r="K14" s="181"/>
    </row>
    <row r="15" spans="1:11" ht="24.95" customHeight="1">
      <c r="A15" s="181"/>
      <c r="B15" s="187"/>
      <c r="C15" s="198" t="s">
        <v>206</v>
      </c>
      <c r="D15" s="199"/>
      <c r="E15" s="188"/>
      <c r="F15" s="189"/>
      <c r="G15" s="205" t="s">
        <v>207</v>
      </c>
      <c r="H15" s="205"/>
      <c r="I15" s="188"/>
      <c r="J15" s="190"/>
      <c r="K15" s="181"/>
    </row>
    <row r="16" spans="1:11" ht="24.95" customHeight="1">
      <c r="A16" s="181"/>
      <c r="B16" s="187"/>
      <c r="C16" s="198" t="s">
        <v>208</v>
      </c>
      <c r="D16" s="199"/>
      <c r="E16" s="188"/>
      <c r="F16" s="189"/>
      <c r="G16" s="205" t="s">
        <v>209</v>
      </c>
      <c r="H16" s="205"/>
      <c r="I16" s="188"/>
      <c r="J16" s="190"/>
      <c r="K16" s="181"/>
    </row>
    <row r="17" spans="1:11" ht="24.95" customHeight="1">
      <c r="A17" s="181"/>
      <c r="B17" s="187"/>
      <c r="C17" s="198" t="s">
        <v>210</v>
      </c>
      <c r="D17" s="199"/>
      <c r="E17" s="188"/>
      <c r="F17" s="189"/>
      <c r="G17" s="205" t="s">
        <v>211</v>
      </c>
      <c r="H17" s="205"/>
      <c r="I17" s="188"/>
      <c r="J17" s="190"/>
      <c r="K17" s="181"/>
    </row>
    <row r="18" spans="1:11" ht="24.95" customHeight="1">
      <c r="A18" s="181"/>
      <c r="B18" s="187"/>
      <c r="C18" s="198" t="s">
        <v>212</v>
      </c>
      <c r="D18" s="199"/>
      <c r="E18" s="188"/>
      <c r="F18" s="189"/>
      <c r="G18" s="205" t="s">
        <v>213</v>
      </c>
      <c r="H18" s="205"/>
      <c r="I18" s="188"/>
      <c r="J18" s="190"/>
      <c r="K18" s="181"/>
    </row>
    <row r="19" spans="1:11" ht="24.95" customHeight="1">
      <c r="A19" s="181"/>
      <c r="B19" s="187"/>
      <c r="C19" s="198" t="s">
        <v>214</v>
      </c>
      <c r="D19" s="199"/>
      <c r="E19" s="188"/>
      <c r="F19" s="189"/>
      <c r="G19" s="205" t="s">
        <v>215</v>
      </c>
      <c r="H19" s="205"/>
      <c r="I19" s="191">
        <f>SUM(E25)+ ROUND(I25/2,0)</f>
        <v>0</v>
      </c>
      <c r="J19" s="190"/>
      <c r="K19" s="181"/>
    </row>
    <row r="20" spans="1:11" ht="24.95" customHeight="1">
      <c r="A20" s="181"/>
      <c r="B20" s="187"/>
      <c r="C20" s="198" t="s">
        <v>216</v>
      </c>
      <c r="D20" s="199"/>
      <c r="E20" s="188"/>
      <c r="F20" s="189"/>
      <c r="G20" s="205" t="s">
        <v>217</v>
      </c>
      <c r="H20" s="205"/>
      <c r="I20" s="188"/>
      <c r="J20" s="190"/>
      <c r="K20" s="181"/>
    </row>
    <row r="21" spans="1:11" ht="24.95" customHeight="1">
      <c r="A21" s="181"/>
      <c r="B21" s="187"/>
      <c r="C21" s="198" t="s">
        <v>218</v>
      </c>
      <c r="D21" s="199"/>
      <c r="E21" s="188"/>
      <c r="F21" s="189"/>
      <c r="G21" s="208" t="s">
        <v>219</v>
      </c>
      <c r="H21" s="208"/>
      <c r="I21" s="188">
        <v>3987</v>
      </c>
      <c r="J21" s="190"/>
      <c r="K21" s="181"/>
    </row>
    <row r="22" spans="1:11" ht="24.95" customHeight="1">
      <c r="A22" s="181"/>
      <c r="B22" s="187"/>
      <c r="C22" s="198" t="s">
        <v>220</v>
      </c>
      <c r="D22" s="199"/>
      <c r="E22" s="188"/>
      <c r="F22" s="189"/>
      <c r="G22" s="205" t="s">
        <v>221</v>
      </c>
      <c r="H22" s="205"/>
      <c r="I22" s="188"/>
      <c r="J22" s="190"/>
      <c r="K22" s="181"/>
    </row>
    <row r="23" spans="1:11" ht="24.95" customHeight="1">
      <c r="A23" s="181"/>
      <c r="B23" s="187"/>
      <c r="C23" s="198" t="s">
        <v>222</v>
      </c>
      <c r="D23" s="199"/>
      <c r="E23" s="188"/>
      <c r="F23" s="189"/>
      <c r="G23" s="209" t="s">
        <v>223</v>
      </c>
      <c r="H23" s="210"/>
      <c r="I23" s="188"/>
      <c r="J23" s="190"/>
      <c r="K23" s="181"/>
    </row>
    <row r="24" spans="1:11" ht="24.95" customHeight="1">
      <c r="A24" s="181"/>
      <c r="B24" s="187"/>
      <c r="C24" s="198" t="s">
        <v>224</v>
      </c>
      <c r="D24" s="199"/>
      <c r="E24" s="188"/>
      <c r="F24" s="189"/>
      <c r="G24" s="211" t="s">
        <v>225</v>
      </c>
      <c r="H24" s="212"/>
      <c r="I24" s="188">
        <v>0</v>
      </c>
      <c r="J24" s="190"/>
      <c r="K24" s="181"/>
    </row>
    <row r="25" spans="1:11" ht="24.95" customHeight="1">
      <c r="A25" s="181"/>
      <c r="B25" s="187"/>
      <c r="C25" s="200" t="s">
        <v>226</v>
      </c>
      <c r="D25" s="200"/>
      <c r="E25" s="192"/>
      <c r="F25" s="193"/>
      <c r="G25" s="213" t="s">
        <v>227</v>
      </c>
      <c r="H25" s="213"/>
      <c r="I25" s="192"/>
      <c r="J25" s="194"/>
      <c r="K25" s="181"/>
    </row>
    <row r="26" spans="1:11" ht="16.5" customHeight="1">
      <c r="A26" s="181"/>
      <c r="B26" s="185"/>
      <c r="C26" s="195"/>
      <c r="D26" s="195"/>
      <c r="E26" s="195"/>
      <c r="F26" s="195"/>
      <c r="G26" s="195"/>
      <c r="H26" s="195"/>
      <c r="I26" s="195"/>
      <c r="J26" s="185"/>
      <c r="K26" s="181"/>
    </row>
    <row r="27" spans="1:11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</row>
    <row r="28" spans="1:1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</row>
    <row r="29" spans="1:1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</row>
    <row r="30" spans="1:11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</row>
  </sheetData>
  <sheetProtection password="8108" sheet="1" objects="1" scenarios="1" formatColumns="0" formatRows="0"/>
  <mergeCells count="44">
    <mergeCell ref="C23:D23"/>
    <mergeCell ref="G23:H23"/>
    <mergeCell ref="C24:D24"/>
    <mergeCell ref="G24:H24"/>
    <mergeCell ref="C26:I26"/>
    <mergeCell ref="C20:D20"/>
    <mergeCell ref="G20:H20"/>
    <mergeCell ref="C21:D21"/>
    <mergeCell ref="G21:H21"/>
    <mergeCell ref="C22:D22"/>
    <mergeCell ref="G22:H22"/>
    <mergeCell ref="C17:D17"/>
    <mergeCell ref="G17:H17"/>
    <mergeCell ref="C18:D18"/>
    <mergeCell ref="G18:H18"/>
    <mergeCell ref="C19:D19"/>
    <mergeCell ref="G19:H19"/>
    <mergeCell ref="G13:H13"/>
    <mergeCell ref="C14:D14"/>
    <mergeCell ref="G14:H14"/>
    <mergeCell ref="C15:D15"/>
    <mergeCell ref="G15:H15"/>
    <mergeCell ref="C16:D16"/>
    <mergeCell ref="G16:H16"/>
    <mergeCell ref="J6:J24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A1:C1"/>
    <mergeCell ref="B2:C2"/>
    <mergeCell ref="C3:I3"/>
    <mergeCell ref="C6:D6"/>
    <mergeCell ref="F6:F24"/>
    <mergeCell ref="G6:H6"/>
    <mergeCell ref="G11:H11"/>
    <mergeCell ref="C12:D12"/>
    <mergeCell ref="G12:H12"/>
    <mergeCell ref="C13:D13"/>
  </mergeCells>
  <dataValidations count="3">
    <dataValidation type="custom" allowBlank="1" showInputMessage="1" showErrorMessage="1" errorTitle="write in Digit only" error="Please input Data in Number uncle" sqref="E6">
      <formula1>ISNUMBER(E6)=TRUE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6"/>
  <sheetViews>
    <sheetView showGridLines="0" view="pageBreakPreview" zoomScaleSheetLayoutView="100" workbookViewId="0">
      <selection activeCell="R10" sqref="R10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2.75" customWidth="1"/>
    <col min="7" max="7" width="8.125" customWidth="1"/>
    <col min="8" max="8" width="6.875" customWidth="1"/>
    <col min="9" max="9" width="7.75" customWidth="1"/>
    <col min="12" max="12" width="4.25" customWidth="1"/>
    <col min="13" max="13" width="7.875" customWidth="1"/>
    <col min="14" max="14" width="3" customWidth="1"/>
    <col min="15" max="15" width="13.625" customWidth="1"/>
    <col min="17" max="17" width="10.5" customWidth="1"/>
    <col min="18" max="18" width="9.625" customWidth="1"/>
    <col min="19" max="19" width="12.75" customWidth="1"/>
    <col min="22" max="24" width="0" hidden="1" customWidth="1"/>
  </cols>
  <sheetData>
    <row r="1" spans="1:23" ht="18" customHeight="1">
      <c r="A1" s="160" t="str">
        <f>IF('मास्टर शीट '!C3="","",CONCATENATE("Office of the Principal"," , ",'मास्टर शीट '!C3))</f>
        <v>Office of the Principal ,  Govt. Higher Secondary School, Agdal Distt, Rewa (M.P.)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23" ht="15" customHeight="1" thickBot="1">
      <c r="A2" s="13"/>
      <c r="B2" s="13"/>
      <c r="C2" s="162" t="s">
        <v>28</v>
      </c>
      <c r="D2" s="162"/>
      <c r="E2" s="162"/>
      <c r="F2" s="163" t="s">
        <v>143</v>
      </c>
      <c r="G2" s="163"/>
      <c r="H2" s="164" t="s">
        <v>29</v>
      </c>
      <c r="I2" s="164"/>
      <c r="J2" s="165" t="s">
        <v>144</v>
      </c>
      <c r="K2" s="165"/>
      <c r="L2" s="175" t="s">
        <v>30</v>
      </c>
      <c r="M2" s="176"/>
      <c r="N2" s="176"/>
      <c r="O2" s="176"/>
    </row>
    <row r="3" spans="1:23" ht="14.25" customHeight="1" thickTop="1">
      <c r="A3" s="14">
        <v>1</v>
      </c>
      <c r="B3" s="152" t="s">
        <v>31</v>
      </c>
      <c r="C3" s="152"/>
      <c r="D3" s="153" t="str">
        <f>IF('मास्टर शीट '!C4="","",UPPER('मास्टर शीट '!C4))</f>
        <v>HEERALAL JAT</v>
      </c>
      <c r="E3" s="153"/>
      <c r="F3" s="153"/>
      <c r="G3" s="153"/>
      <c r="H3" s="153"/>
      <c r="I3" s="15" t="s">
        <v>32</v>
      </c>
      <c r="J3" s="154" t="str">
        <f>IF('मास्टर शीट '!E4="","",UPPER('मास्टर शीट '!E4))</f>
        <v>UPPER MIDDLE TEACHER</v>
      </c>
      <c r="K3" s="154"/>
      <c r="L3" s="154"/>
      <c r="M3" s="16" t="s">
        <v>34</v>
      </c>
      <c r="N3" s="155" t="str">
        <f>IF('मास्टर शीट '!C7="","",UPPER('मास्टर शीट '!C7))</f>
        <v>ADBPT5575H</v>
      </c>
      <c r="O3" s="156"/>
    </row>
    <row r="4" spans="1:23" ht="13.5" customHeight="1">
      <c r="A4" s="157">
        <v>2</v>
      </c>
      <c r="B4" s="159" t="s">
        <v>240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7" t="s">
        <v>36</v>
      </c>
      <c r="O4" s="18">
        <f>IF('मास्टर शीट '!$E$8="GPF",'वार्षिक वेतन विवरण  '!K25,'वार्षिक वेतन विवरण  '!K25-'वार्षिक वेतन विवरण  '!I25)</f>
        <v>705696</v>
      </c>
    </row>
    <row r="5" spans="1:23" ht="14.25" customHeight="1">
      <c r="A5" s="158"/>
      <c r="B5" s="136" t="s">
        <v>37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17" t="s">
        <v>36</v>
      </c>
      <c r="O5" s="18">
        <f>'वार्षिक वेतन विवरण  '!I25</f>
        <v>97879</v>
      </c>
    </row>
    <row r="6" spans="1:23" ht="11.25" customHeight="1">
      <c r="A6" s="19">
        <v>3</v>
      </c>
      <c r="B6" s="92" t="s">
        <v>38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39" t="s">
        <v>36</v>
      </c>
      <c r="O6" s="177">
        <f>'अन्य कटौती '!E6</f>
        <v>0</v>
      </c>
    </row>
    <row r="7" spans="1:23" ht="15.75">
      <c r="A7" s="19">
        <v>4</v>
      </c>
      <c r="B7" s="140" t="s">
        <v>39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7" t="s">
        <v>36</v>
      </c>
      <c r="O7" s="18">
        <f>SUM(O4+O5+O6)</f>
        <v>803575</v>
      </c>
    </row>
    <row r="8" spans="1:23" ht="11.25" customHeight="1">
      <c r="A8" s="141">
        <v>5</v>
      </c>
      <c r="B8" s="85" t="s">
        <v>40</v>
      </c>
      <c r="C8" s="85"/>
      <c r="D8" s="85"/>
      <c r="E8" s="85"/>
      <c r="F8" s="85"/>
      <c r="G8" s="85"/>
      <c r="H8" s="85"/>
      <c r="I8" s="85"/>
      <c r="J8" s="85"/>
      <c r="K8" s="178">
        <f>'अन्य कटौती '!E8</f>
        <v>0</v>
      </c>
      <c r="L8" s="178"/>
      <c r="M8" s="178"/>
      <c r="N8" s="149"/>
      <c r="O8" s="150"/>
    </row>
    <row r="9" spans="1:23" ht="11.25" customHeight="1">
      <c r="A9" s="141"/>
      <c r="B9" s="85" t="s">
        <v>148</v>
      </c>
      <c r="C9" s="85"/>
      <c r="D9" s="85"/>
      <c r="E9" s="85"/>
      <c r="F9" s="85"/>
      <c r="G9" s="85"/>
      <c r="H9" s="85"/>
      <c r="I9" s="85"/>
      <c r="J9" s="85"/>
      <c r="K9" s="178">
        <f>'अन्य कटौती '!E9</f>
        <v>2500</v>
      </c>
      <c r="L9" s="178"/>
      <c r="M9" s="178"/>
      <c r="N9" s="149"/>
      <c r="O9" s="150"/>
    </row>
    <row r="10" spans="1:23" ht="12.75" customHeight="1">
      <c r="A10" s="141"/>
      <c r="B10" s="85" t="s">
        <v>149</v>
      </c>
      <c r="C10" s="85"/>
      <c r="D10" s="85"/>
      <c r="E10" s="85"/>
      <c r="F10" s="85"/>
      <c r="G10" s="85"/>
      <c r="H10" s="85"/>
      <c r="I10" s="85"/>
      <c r="J10" s="85"/>
      <c r="K10" s="151">
        <f>'अन्य कटौती '!E7</f>
        <v>50000</v>
      </c>
      <c r="L10" s="151"/>
      <c r="M10" s="151"/>
      <c r="N10" s="17" t="s">
        <v>36</v>
      </c>
      <c r="O10" s="18">
        <f>SUM(K8:M10)</f>
        <v>52500</v>
      </c>
    </row>
    <row r="11" spans="1:23" ht="14.25" customHeight="1">
      <c r="A11" s="19">
        <v>6</v>
      </c>
      <c r="B11" s="140" t="s">
        <v>41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7" t="s">
        <v>36</v>
      </c>
      <c r="O11" s="18">
        <f>SUM(O7-O10)</f>
        <v>751075</v>
      </c>
    </row>
    <row r="12" spans="1:23" ht="15.75" customHeight="1">
      <c r="A12" s="141">
        <v>7</v>
      </c>
      <c r="B12" s="85" t="s">
        <v>42</v>
      </c>
      <c r="C12" s="85"/>
      <c r="D12" s="85"/>
      <c r="E12" s="85"/>
      <c r="F12" s="85"/>
      <c r="G12" s="85"/>
      <c r="H12" s="85"/>
      <c r="I12" s="142" t="s">
        <v>43</v>
      </c>
      <c r="J12" s="142"/>
      <c r="K12" s="219">
        <f>'अन्य कटौती '!E10</f>
        <v>0</v>
      </c>
      <c r="L12" s="219"/>
      <c r="M12" s="219"/>
      <c r="N12" s="143"/>
      <c r="O12" s="144"/>
      <c r="V12" s="226">
        <f>SUM(G21:G31)+SUM(M22:M30)+O33</f>
        <v>214705</v>
      </c>
    </row>
    <row r="13" spans="1:23" ht="14.25" customHeight="1">
      <c r="A13" s="141"/>
      <c r="B13" s="145" t="s">
        <v>44</v>
      </c>
      <c r="C13" s="146"/>
      <c r="D13" s="142" t="s">
        <v>45</v>
      </c>
      <c r="E13" s="142"/>
      <c r="F13" s="134" t="s">
        <v>46</v>
      </c>
      <c r="G13" s="139"/>
      <c r="H13" s="135"/>
      <c r="I13" s="142" t="s">
        <v>47</v>
      </c>
      <c r="J13" s="142"/>
      <c r="K13" s="134" t="s">
        <v>48</v>
      </c>
      <c r="L13" s="139"/>
      <c r="M13" s="135"/>
      <c r="N13" s="143"/>
      <c r="O13" s="144"/>
      <c r="V13">
        <f>IF(V12&gt;150000,V12-150000,0)</f>
        <v>64705</v>
      </c>
    </row>
    <row r="14" spans="1:23" ht="12.75" customHeight="1">
      <c r="A14" s="141"/>
      <c r="B14" s="147"/>
      <c r="C14" s="148"/>
      <c r="D14" s="218">
        <f>ROUND(K12*0.3,0)</f>
        <v>0</v>
      </c>
      <c r="E14" s="218"/>
      <c r="F14" s="218">
        <f>'अन्य कटौती '!E13</f>
        <v>53667</v>
      </c>
      <c r="G14" s="218"/>
      <c r="H14" s="218"/>
      <c r="I14" s="218">
        <f>'अन्य कटौती '!E11</f>
        <v>0</v>
      </c>
      <c r="J14" s="218"/>
      <c r="K14" s="218">
        <f>D14+F14+I14</f>
        <v>53667</v>
      </c>
      <c r="L14" s="218"/>
      <c r="M14" s="218"/>
      <c r="N14" s="143"/>
      <c r="O14" s="144"/>
      <c r="W14" s="226">
        <f>O33</f>
        <v>69912</v>
      </c>
    </row>
    <row r="15" spans="1:23" ht="13.5" customHeight="1">
      <c r="A15" s="19"/>
      <c r="B15" s="103" t="s">
        <v>49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7" t="s">
        <v>36</v>
      </c>
      <c r="O15" s="18">
        <f>K12-K14</f>
        <v>-53667</v>
      </c>
      <c r="V15">
        <f>IF(V12&gt;=200000,50000,V13)</f>
        <v>50000</v>
      </c>
      <c r="W15">
        <f>MIN(V13,V15)</f>
        <v>50000</v>
      </c>
    </row>
    <row r="16" spans="1:23" ht="15.75">
      <c r="A16" s="19">
        <v>8</v>
      </c>
      <c r="B16" s="124" t="s">
        <v>50</v>
      </c>
      <c r="C16" s="125"/>
      <c r="D16" s="126"/>
      <c r="E16" s="127">
        <f>'अन्य कटौती '!I21</f>
        <v>3987</v>
      </c>
      <c r="F16" s="127"/>
      <c r="G16" s="128" t="s">
        <v>51</v>
      </c>
      <c r="H16" s="128"/>
      <c r="I16" s="20">
        <f>'अन्य कटौती '!E24</f>
        <v>0</v>
      </c>
      <c r="J16" s="103" t="s">
        <v>52</v>
      </c>
      <c r="K16" s="103"/>
      <c r="L16" s="103"/>
      <c r="M16" s="103"/>
      <c r="N16" s="17" t="s">
        <v>36</v>
      </c>
      <c r="O16" s="18">
        <f>O11+O15</f>
        <v>697408</v>
      </c>
    </row>
    <row r="17" spans="1:22" ht="15.75">
      <c r="A17" s="19">
        <v>9</v>
      </c>
      <c r="B17" s="129" t="s">
        <v>53</v>
      </c>
      <c r="C17" s="130"/>
      <c r="D17" s="131"/>
      <c r="E17" s="132">
        <f>'अन्य कटौती '!I23</f>
        <v>0</v>
      </c>
      <c r="F17" s="133"/>
      <c r="G17" s="134" t="s">
        <v>145</v>
      </c>
      <c r="H17" s="135"/>
      <c r="I17" s="21">
        <f>'अन्य कटौती '!E23</f>
        <v>0</v>
      </c>
      <c r="J17" s="136" t="s">
        <v>54</v>
      </c>
      <c r="K17" s="137"/>
      <c r="L17" s="137"/>
      <c r="M17" s="138"/>
      <c r="N17" s="17" t="s">
        <v>36</v>
      </c>
      <c r="O17" s="18">
        <f>E16+E17+I16+I17</f>
        <v>3987</v>
      </c>
      <c r="V17" s="226">
        <f>W14-W15</f>
        <v>19912</v>
      </c>
    </row>
    <row r="18" spans="1:22" ht="15.75">
      <c r="A18" s="46">
        <v>10</v>
      </c>
      <c r="B18" s="110" t="s">
        <v>55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39" t="s">
        <v>36</v>
      </c>
      <c r="O18" s="18">
        <f>O16+O17</f>
        <v>701395</v>
      </c>
    </row>
    <row r="19" spans="1:22" ht="13.5" customHeight="1">
      <c r="A19" s="87">
        <v>11</v>
      </c>
      <c r="B19" s="104" t="s">
        <v>56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</row>
    <row r="20" spans="1:22" ht="13.5" customHeight="1">
      <c r="A20" s="87"/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13"/>
    </row>
    <row r="21" spans="1:22" ht="13.5" customHeight="1">
      <c r="A21" s="87"/>
      <c r="B21" s="41" t="s">
        <v>58</v>
      </c>
      <c r="C21" s="107" t="s">
        <v>59</v>
      </c>
      <c r="D21" s="107"/>
      <c r="E21" s="107"/>
      <c r="F21" s="42" t="s">
        <v>36</v>
      </c>
      <c r="G21" s="223">
        <v>0</v>
      </c>
      <c r="H21" s="41" t="s">
        <v>60</v>
      </c>
      <c r="I21" s="114" t="s">
        <v>147</v>
      </c>
      <c r="J21" s="115"/>
      <c r="K21" s="116"/>
      <c r="L21" s="42" t="s">
        <v>36</v>
      </c>
      <c r="M21" s="225">
        <f>IF(R36="Yes",V17,'वार्षिक वेतन विवरण  '!L25)</f>
        <v>69912</v>
      </c>
      <c r="N21" s="117"/>
      <c r="O21" s="118"/>
    </row>
    <row r="22" spans="1:22" ht="13.5" customHeight="1">
      <c r="A22" s="87"/>
      <c r="B22" s="41" t="s">
        <v>61</v>
      </c>
      <c r="C22" s="107" t="s">
        <v>62</v>
      </c>
      <c r="D22" s="107"/>
      <c r="E22" s="107"/>
      <c r="F22" s="42" t="s">
        <v>36</v>
      </c>
      <c r="G22" s="223">
        <v>0</v>
      </c>
      <c r="H22" s="41" t="s">
        <v>63</v>
      </c>
      <c r="I22" s="109" t="s">
        <v>64</v>
      </c>
      <c r="J22" s="109"/>
      <c r="K22" s="109"/>
      <c r="L22" s="42" t="s">
        <v>36</v>
      </c>
      <c r="M22" s="223">
        <f>'अन्य कटौती '!I12</f>
        <v>0</v>
      </c>
      <c r="N22" s="117"/>
      <c r="O22" s="118"/>
    </row>
    <row r="23" spans="1:22" ht="13.5" customHeight="1">
      <c r="A23" s="87"/>
      <c r="B23" s="41" t="s">
        <v>65</v>
      </c>
      <c r="C23" s="107" t="s">
        <v>66</v>
      </c>
      <c r="D23" s="107"/>
      <c r="E23" s="107"/>
      <c r="F23" s="42" t="s">
        <v>36</v>
      </c>
      <c r="G23" s="223">
        <f>'अन्य कटौती '!E18</f>
        <v>0</v>
      </c>
      <c r="H23" s="41" t="s">
        <v>67</v>
      </c>
      <c r="I23" s="109" t="s">
        <v>68</v>
      </c>
      <c r="J23" s="109"/>
      <c r="K23" s="109"/>
      <c r="L23" s="42" t="s">
        <v>36</v>
      </c>
      <c r="M23" s="224">
        <f>'अन्य कटौती '!E19</f>
        <v>0</v>
      </c>
      <c r="N23" s="117"/>
      <c r="O23" s="118"/>
    </row>
    <row r="24" spans="1:22" ht="13.5" customHeight="1">
      <c r="A24" s="87"/>
      <c r="B24" s="41" t="s">
        <v>69</v>
      </c>
      <c r="C24" s="107" t="s">
        <v>70</v>
      </c>
      <c r="D24" s="107"/>
      <c r="E24" s="107"/>
      <c r="F24" s="42" t="s">
        <v>36</v>
      </c>
      <c r="G24" s="223">
        <f>'अन्य कटौती '!E20</f>
        <v>0</v>
      </c>
      <c r="H24" s="41" t="s">
        <v>71</v>
      </c>
      <c r="I24" s="109" t="s">
        <v>72</v>
      </c>
      <c r="J24" s="109"/>
      <c r="K24" s="109"/>
      <c r="L24" s="42" t="s">
        <v>36</v>
      </c>
      <c r="M24" s="224">
        <f>'अन्य कटौती '!E16</f>
        <v>0</v>
      </c>
      <c r="N24" s="117"/>
      <c r="O24" s="118"/>
    </row>
    <row r="25" spans="1:22" ht="13.5" customHeight="1">
      <c r="A25" s="87"/>
      <c r="B25" s="41" t="s">
        <v>73</v>
      </c>
      <c r="C25" s="107" t="s">
        <v>74</v>
      </c>
      <c r="D25" s="107"/>
      <c r="E25" s="107"/>
      <c r="F25" s="42" t="s">
        <v>36</v>
      </c>
      <c r="G25" s="223">
        <f>'अन्य कटौती '!E21</f>
        <v>0</v>
      </c>
      <c r="H25" s="41" t="s">
        <v>75</v>
      </c>
      <c r="I25" s="109" t="s">
        <v>76</v>
      </c>
      <c r="J25" s="109"/>
      <c r="K25" s="109"/>
      <c r="L25" s="42" t="s">
        <v>36</v>
      </c>
      <c r="M25" s="223">
        <f>'अन्य कटौती '!I6</f>
        <v>0</v>
      </c>
      <c r="N25" s="117"/>
      <c r="O25" s="118"/>
    </row>
    <row r="26" spans="1:22" ht="13.5" customHeight="1">
      <c r="A26" s="87"/>
      <c r="B26" s="41" t="s">
        <v>77</v>
      </c>
      <c r="C26" s="107" t="s">
        <v>78</v>
      </c>
      <c r="D26" s="107"/>
      <c r="E26" s="107"/>
      <c r="F26" s="42" t="s">
        <v>36</v>
      </c>
      <c r="G26" s="223">
        <f>IF('मास्टर शीट '!$E$8="GPF",'वार्षिक वेतन विवरण  '!L25,0)</f>
        <v>0</v>
      </c>
      <c r="H26" s="41" t="s">
        <v>79</v>
      </c>
      <c r="I26" s="109" t="s">
        <v>80</v>
      </c>
      <c r="J26" s="109"/>
      <c r="K26" s="109"/>
      <c r="L26" s="42" t="s">
        <v>36</v>
      </c>
      <c r="M26" s="223">
        <f>'अन्य कटौती '!I8</f>
        <v>0</v>
      </c>
      <c r="N26" s="117"/>
      <c r="O26" s="118"/>
    </row>
    <row r="27" spans="1:22" ht="13.5" customHeight="1">
      <c r="A27" s="87"/>
      <c r="B27" s="41" t="s">
        <v>81</v>
      </c>
      <c r="C27" s="107" t="s">
        <v>82</v>
      </c>
      <c r="D27" s="107"/>
      <c r="E27" s="107"/>
      <c r="F27" s="42" t="s">
        <v>36</v>
      </c>
      <c r="G27" s="224">
        <f>'वार्षिक वेतन विवरण  '!M25</f>
        <v>4800</v>
      </c>
      <c r="H27" s="41" t="s">
        <v>83</v>
      </c>
      <c r="I27" s="106" t="s">
        <v>84</v>
      </c>
      <c r="J27" s="106"/>
      <c r="K27" s="106"/>
      <c r="L27" s="42" t="s">
        <v>36</v>
      </c>
      <c r="M27" s="223">
        <f>'अन्य कटौती '!E15</f>
        <v>0</v>
      </c>
      <c r="N27" s="117"/>
      <c r="O27" s="118"/>
    </row>
    <row r="28" spans="1:22" ht="13.5" customHeight="1" thickBot="1">
      <c r="A28" s="87"/>
      <c r="B28" s="41" t="s">
        <v>85</v>
      </c>
      <c r="C28" s="107" t="s">
        <v>86</v>
      </c>
      <c r="D28" s="107"/>
      <c r="E28" s="107"/>
      <c r="F28" s="42" t="s">
        <v>36</v>
      </c>
      <c r="G28" s="224">
        <f>'अन्य कटौती '!E17</f>
        <v>0</v>
      </c>
      <c r="H28" s="41" t="s">
        <v>87</v>
      </c>
      <c r="I28" s="222" t="s">
        <v>88</v>
      </c>
      <c r="J28" s="222"/>
      <c r="K28" s="222"/>
      <c r="L28" s="42" t="s">
        <v>36</v>
      </c>
      <c r="M28" s="223">
        <f>'अन्य कटौती '!I13</f>
        <v>0</v>
      </c>
      <c r="N28" s="117"/>
      <c r="O28" s="118"/>
    </row>
    <row r="29" spans="1:22" ht="13.5" customHeight="1">
      <c r="A29" s="87"/>
      <c r="B29" s="41" t="s">
        <v>89</v>
      </c>
      <c r="C29" s="107" t="s">
        <v>90</v>
      </c>
      <c r="D29" s="107"/>
      <c r="E29" s="107"/>
      <c r="F29" s="42" t="s">
        <v>36</v>
      </c>
      <c r="G29" s="224">
        <f>'अन्य कटौती '!E12</f>
        <v>125985</v>
      </c>
      <c r="H29" s="41" t="s">
        <v>91</v>
      </c>
      <c r="I29" s="106" t="s">
        <v>92</v>
      </c>
      <c r="J29" s="106"/>
      <c r="K29" s="106"/>
      <c r="L29" s="42" t="s">
        <v>36</v>
      </c>
      <c r="M29" s="223">
        <f>'अन्य कटौती '!E22</f>
        <v>0</v>
      </c>
      <c r="N29" s="117"/>
      <c r="O29" s="118"/>
      <c r="Q29" s="227" t="s">
        <v>231</v>
      </c>
      <c r="R29" s="228"/>
      <c r="S29" s="229"/>
    </row>
    <row r="30" spans="1:22" ht="13.5" customHeight="1">
      <c r="A30" s="87"/>
      <c r="B30" s="41" t="s">
        <v>93</v>
      </c>
      <c r="C30" s="107" t="s">
        <v>94</v>
      </c>
      <c r="D30" s="107"/>
      <c r="E30" s="107"/>
      <c r="F30" s="42" t="s">
        <v>36</v>
      </c>
      <c r="G30" s="223">
        <f>'अन्य कटौती '!E14</f>
        <v>14008</v>
      </c>
      <c r="H30" s="41" t="s">
        <v>95</v>
      </c>
      <c r="I30" s="106" t="s">
        <v>96</v>
      </c>
      <c r="J30" s="106"/>
      <c r="K30" s="106"/>
      <c r="L30" s="42" t="s">
        <v>36</v>
      </c>
      <c r="M30" s="223">
        <f>'अन्य कटौती '!I10</f>
        <v>0</v>
      </c>
      <c r="N30" s="117"/>
      <c r="O30" s="118"/>
      <c r="Q30" s="230"/>
      <c r="R30" s="231"/>
      <c r="S30" s="232"/>
    </row>
    <row r="31" spans="1:22" ht="13.5" customHeight="1">
      <c r="A31" s="87"/>
      <c r="B31" s="41" t="s">
        <v>97</v>
      </c>
      <c r="C31" s="119" t="s">
        <v>98</v>
      </c>
      <c r="D31" s="119"/>
      <c r="E31" s="119"/>
      <c r="F31" s="42" t="s">
        <v>36</v>
      </c>
      <c r="G31" s="225"/>
      <c r="H31" s="120" t="s">
        <v>146</v>
      </c>
      <c r="I31" s="121"/>
      <c r="J31" s="121"/>
      <c r="K31" s="122"/>
      <c r="L31" s="42" t="s">
        <v>36</v>
      </c>
      <c r="M31" s="242">
        <f>SUM(G21:G31)+SUM(M21:M30)</f>
        <v>214705</v>
      </c>
      <c r="N31" s="117"/>
      <c r="O31" s="118"/>
      <c r="Q31" s="230"/>
      <c r="R31" s="231"/>
      <c r="S31" s="232"/>
    </row>
    <row r="32" spans="1:22" ht="13.5" customHeight="1">
      <c r="A32" s="87"/>
      <c r="B32" s="103" t="s">
        <v>99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7" t="s">
        <v>36</v>
      </c>
      <c r="O32" s="18">
        <f>IF(M31&lt;150001,ROUND(M31,0),150000)</f>
        <v>150000</v>
      </c>
      <c r="Q32" s="230"/>
      <c r="R32" s="231"/>
      <c r="S32" s="232"/>
    </row>
    <row r="33" spans="1:19" ht="13.5" customHeight="1">
      <c r="A33" s="87"/>
      <c r="B33" s="123" t="s">
        <v>100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7" t="s">
        <v>36</v>
      </c>
      <c r="O33" s="18">
        <f>'वार्षिक वेतन विवरण  '!L25</f>
        <v>69912</v>
      </c>
      <c r="Q33" s="230"/>
      <c r="R33" s="231"/>
      <c r="S33" s="232"/>
    </row>
    <row r="34" spans="1:19" ht="13.5" customHeight="1" thickBot="1">
      <c r="A34" s="87"/>
      <c r="B34" s="102" t="s">
        <v>101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7" t="s">
        <v>36</v>
      </c>
      <c r="O34" s="22">
        <f>IF(R36="Yes",W15,0)</f>
        <v>0</v>
      </c>
      <c r="Q34" s="233"/>
      <c r="R34" s="234"/>
      <c r="S34" s="235"/>
    </row>
    <row r="35" spans="1:19" ht="20.25" customHeight="1" thickBot="1">
      <c r="A35" s="87"/>
      <c r="B35" s="103" t="s">
        <v>102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7" t="s">
        <v>36</v>
      </c>
      <c r="O35" s="18">
        <f>SUM(O32:O34)</f>
        <v>219912</v>
      </c>
      <c r="Q35" s="236"/>
      <c r="R35" s="237" t="s">
        <v>232</v>
      </c>
      <c r="S35" s="238" t="s">
        <v>233</v>
      </c>
    </row>
    <row r="36" spans="1:19" ht="13.5" customHeight="1">
      <c r="A36" s="87">
        <v>12</v>
      </c>
      <c r="B36" s="104" t="s">
        <v>103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Q36" s="236"/>
      <c r="R36" s="239" t="s">
        <v>234</v>
      </c>
      <c r="S36" s="238"/>
    </row>
    <row r="37" spans="1:19" s="43" customFormat="1" ht="13.5" customHeight="1" thickBot="1">
      <c r="A37" s="87"/>
      <c r="B37" s="92" t="s">
        <v>104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39" t="s">
        <v>36</v>
      </c>
      <c r="O37" s="18">
        <f>'अन्य कटौती '!I15</f>
        <v>0</v>
      </c>
      <c r="Q37" s="32"/>
      <c r="R37" s="240"/>
      <c r="S37" s="241"/>
    </row>
    <row r="38" spans="1:19" s="43" customFormat="1" ht="13.5" customHeight="1">
      <c r="A38" s="87"/>
      <c r="B38" s="92" t="s">
        <v>105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39" t="s">
        <v>36</v>
      </c>
      <c r="O38" s="18">
        <f>'अन्य कटौती '!I16</f>
        <v>0</v>
      </c>
    </row>
    <row r="39" spans="1:19" s="43" customFormat="1" ht="13.5" customHeight="1">
      <c r="A39" s="87"/>
      <c r="B39" s="92" t="s">
        <v>106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39" t="s">
        <v>36</v>
      </c>
      <c r="O39" s="18">
        <f>'अन्य कटौती '!I17</f>
        <v>0</v>
      </c>
    </row>
    <row r="40" spans="1:19" s="43" customFormat="1" ht="13.5" customHeight="1">
      <c r="A40" s="87"/>
      <c r="B40" s="92" t="s">
        <v>107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39" t="s">
        <v>36</v>
      </c>
      <c r="O40" s="18">
        <f>'अन्य कटौती '!I18</f>
        <v>0</v>
      </c>
    </row>
    <row r="41" spans="1:19" s="43" customFormat="1" ht="13.5" customHeight="1">
      <c r="A41" s="87"/>
      <c r="B41" s="92" t="s">
        <v>108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39" t="s">
        <v>36</v>
      </c>
      <c r="O41" s="177">
        <f>'अन्य कटौती '!I19</f>
        <v>0</v>
      </c>
    </row>
    <row r="42" spans="1:19" s="43" customFormat="1" ht="13.5" customHeight="1">
      <c r="A42" s="87"/>
      <c r="B42" s="92" t="s">
        <v>109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39" t="s">
        <v>36</v>
      </c>
      <c r="O42" s="18">
        <f>'अन्य कटौती '!I20</f>
        <v>0</v>
      </c>
    </row>
    <row r="43" spans="1:19" s="43" customFormat="1" ht="13.5" customHeight="1">
      <c r="A43" s="87"/>
      <c r="B43" s="92" t="s">
        <v>110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39" t="s">
        <v>36</v>
      </c>
      <c r="O43" s="18">
        <f>'अन्य कटौती '!I21</f>
        <v>3987</v>
      </c>
    </row>
    <row r="44" spans="1:19" s="43" customFormat="1" ht="13.5" customHeight="1">
      <c r="A44" s="87"/>
      <c r="B44" s="92" t="s">
        <v>111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39" t="s">
        <v>36</v>
      </c>
      <c r="O44" s="18">
        <f>'अन्य कटौती '!I22</f>
        <v>0</v>
      </c>
    </row>
    <row r="45" spans="1:19" ht="13.5" customHeight="1">
      <c r="A45" s="87"/>
      <c r="B45" s="108" t="s">
        <v>112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7" t="s">
        <v>36</v>
      </c>
      <c r="O45" s="23">
        <f>SUM(O37:O44)</f>
        <v>3987</v>
      </c>
    </row>
    <row r="46" spans="1:19" ht="13.5" customHeight="1">
      <c r="A46" s="46">
        <v>13</v>
      </c>
      <c r="B46" s="101" t="s">
        <v>113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7" t="s">
        <v>36</v>
      </c>
      <c r="O46" s="18">
        <f>O35+O45</f>
        <v>223899</v>
      </c>
    </row>
    <row r="47" spans="1:19" ht="13.5" customHeight="1">
      <c r="A47" s="46">
        <v>14</v>
      </c>
      <c r="B47" s="100" t="s">
        <v>114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7" t="s">
        <v>36</v>
      </c>
      <c r="O47" s="18">
        <f>(O18-O46)</f>
        <v>477496</v>
      </c>
    </row>
    <row r="48" spans="1:19" ht="13.5" customHeight="1">
      <c r="A48" s="46">
        <v>15</v>
      </c>
      <c r="B48" s="101" t="s">
        <v>115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7" t="s">
        <v>36</v>
      </c>
      <c r="O48" s="18">
        <f>ROUND(O47,-1)</f>
        <v>477500</v>
      </c>
    </row>
    <row r="49" spans="1:15" ht="13.5" customHeight="1">
      <c r="A49" s="87">
        <v>16</v>
      </c>
      <c r="B49" s="92" t="s">
        <v>116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3"/>
    </row>
    <row r="50" spans="1:15" ht="13.5" customHeight="1">
      <c r="A50" s="87"/>
      <c r="B50" s="94" t="s">
        <v>117</v>
      </c>
      <c r="C50" s="94"/>
      <c r="D50" s="94"/>
      <c r="E50" s="94"/>
      <c r="F50" s="95" t="s">
        <v>118</v>
      </c>
      <c r="G50" s="95"/>
      <c r="H50" s="95"/>
      <c r="I50" s="95"/>
      <c r="J50" s="94" t="s">
        <v>119</v>
      </c>
      <c r="K50" s="94"/>
      <c r="L50" s="94"/>
      <c r="M50" s="94"/>
      <c r="N50" s="24"/>
      <c r="O50" s="25"/>
    </row>
    <row r="51" spans="1:15" ht="13.5" customHeight="1">
      <c r="A51" s="87"/>
      <c r="B51" s="96" t="s">
        <v>120</v>
      </c>
      <c r="C51" s="96"/>
      <c r="D51" s="96"/>
      <c r="E51" s="26">
        <v>0</v>
      </c>
      <c r="F51" s="96" t="s">
        <v>121</v>
      </c>
      <c r="G51" s="96"/>
      <c r="H51" s="96"/>
      <c r="I51" s="26">
        <v>0</v>
      </c>
      <c r="J51" s="96" t="s">
        <v>122</v>
      </c>
      <c r="K51" s="96"/>
      <c r="L51" s="96"/>
      <c r="M51" s="26">
        <v>0</v>
      </c>
      <c r="N51" s="17" t="s">
        <v>36</v>
      </c>
      <c r="O51" s="45">
        <v>0</v>
      </c>
    </row>
    <row r="52" spans="1:15" ht="13.5" customHeight="1">
      <c r="A52" s="87"/>
      <c r="B52" s="96" t="s">
        <v>123</v>
      </c>
      <c r="C52" s="96"/>
      <c r="D52" s="96"/>
      <c r="E52" s="26">
        <v>0.05</v>
      </c>
      <c r="F52" s="96" t="s">
        <v>124</v>
      </c>
      <c r="G52" s="96"/>
      <c r="H52" s="96"/>
      <c r="I52" s="26">
        <v>0.05</v>
      </c>
      <c r="J52" s="96" t="s">
        <v>125</v>
      </c>
      <c r="K52" s="96"/>
      <c r="L52" s="96"/>
      <c r="M52" s="27" t="s">
        <v>126</v>
      </c>
      <c r="N52" s="17" t="s">
        <v>36</v>
      </c>
      <c r="O52" s="45">
        <f>ROUND(IF(O48&lt;=250000,0,IF(O48&gt;=500000,12500,IF(O48&lt;=500000,0+(O48-250000)*0.05))),0)</f>
        <v>11375</v>
      </c>
    </row>
    <row r="53" spans="1:15" ht="13.5" customHeight="1">
      <c r="A53" s="87"/>
      <c r="B53" s="96" t="s">
        <v>127</v>
      </c>
      <c r="C53" s="96"/>
      <c r="D53" s="96"/>
      <c r="E53" s="26" t="s">
        <v>128</v>
      </c>
      <c r="F53" s="96" t="s">
        <v>127</v>
      </c>
      <c r="G53" s="96"/>
      <c r="H53" s="96"/>
      <c r="I53" s="26" t="s">
        <v>128</v>
      </c>
      <c r="J53" s="96" t="s">
        <v>127</v>
      </c>
      <c r="K53" s="96"/>
      <c r="L53" s="96"/>
      <c r="M53" s="26" t="s">
        <v>128</v>
      </c>
      <c r="N53" s="17" t="s">
        <v>36</v>
      </c>
      <c r="O53" s="45">
        <f>ROUND(IF(O48&lt;=500000,0,IF(O48&gt;=1000000,100000,IF(O48&lt;=1000000,(O48-500000)*0.2,"0"))),0)</f>
        <v>0</v>
      </c>
    </row>
    <row r="54" spans="1:15" ht="13.5" customHeight="1">
      <c r="A54" s="87"/>
      <c r="B54" s="96" t="s">
        <v>129</v>
      </c>
      <c r="C54" s="99"/>
      <c r="D54" s="99"/>
      <c r="E54" s="26" t="s">
        <v>130</v>
      </c>
      <c r="F54" s="96" t="s">
        <v>129</v>
      </c>
      <c r="G54" s="96"/>
      <c r="H54" s="96"/>
      <c r="I54" s="26" t="s">
        <v>130</v>
      </c>
      <c r="J54" s="96" t="s">
        <v>129</v>
      </c>
      <c r="K54" s="96"/>
      <c r="L54" s="96"/>
      <c r="M54" s="26" t="s">
        <v>130</v>
      </c>
      <c r="N54" s="17" t="s">
        <v>36</v>
      </c>
      <c r="O54" s="45">
        <f>ROUND(IF(O48&gt;1000000,(O48-1000000)*0.3,"0"),0)</f>
        <v>0</v>
      </c>
    </row>
    <row r="55" spans="1:15" ht="13.5" customHeight="1">
      <c r="A55" s="87"/>
      <c r="B55" s="97" t="s">
        <v>131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17" t="s">
        <v>36</v>
      </c>
      <c r="O55" s="40">
        <f>SUM(O51:O54)</f>
        <v>11375</v>
      </c>
    </row>
    <row r="56" spans="1:15" ht="13.5" customHeight="1">
      <c r="A56" s="87"/>
      <c r="B56" s="81" t="s">
        <v>132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7" t="s">
        <v>36</v>
      </c>
      <c r="O56" s="40">
        <f>IF(O48&gt;500000,0,IF(O55&lt;12500,O55,12500))</f>
        <v>11375</v>
      </c>
    </row>
    <row r="57" spans="1:15" ht="13.5" customHeight="1">
      <c r="A57" s="87"/>
      <c r="B57" s="98" t="s">
        <v>133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7" t="s">
        <v>36</v>
      </c>
      <c r="O57" s="40">
        <f>O55-O56</f>
        <v>0</v>
      </c>
    </row>
    <row r="58" spans="1:15" ht="13.5" customHeight="1">
      <c r="A58" s="87"/>
      <c r="B58" s="28" t="s">
        <v>134</v>
      </c>
      <c r="C58" s="81" t="s">
        <v>235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17" t="s">
        <v>36</v>
      </c>
      <c r="O58" s="40">
        <f>ROUND((O57*0.04),0)</f>
        <v>0</v>
      </c>
    </row>
    <row r="59" spans="1:15" ht="13.5" customHeight="1">
      <c r="A59" s="87"/>
      <c r="B59" s="82" t="s">
        <v>135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17" t="s">
        <v>36</v>
      </c>
      <c r="O59" s="40">
        <f>SUM(O57:O58)</f>
        <v>0</v>
      </c>
    </row>
    <row r="60" spans="1:15" ht="13.5" customHeight="1">
      <c r="A60" s="46">
        <v>17</v>
      </c>
      <c r="B60" s="85" t="s">
        <v>136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17" t="s">
        <v>36</v>
      </c>
      <c r="O60" s="40">
        <f>'अन्य कटौती '!I24</f>
        <v>0</v>
      </c>
    </row>
    <row r="61" spans="1:15" ht="13.5" customHeight="1">
      <c r="A61" s="46">
        <v>18</v>
      </c>
      <c r="B61" s="86" t="s">
        <v>137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17" t="s">
        <v>36</v>
      </c>
      <c r="O61" s="40">
        <f>O59-O60</f>
        <v>0</v>
      </c>
    </row>
    <row r="62" spans="1:15" ht="48.75" customHeight="1">
      <c r="A62" s="87">
        <v>19</v>
      </c>
      <c r="B62" s="88" t="s">
        <v>138</v>
      </c>
      <c r="C62" s="88"/>
      <c r="D62" s="88"/>
      <c r="E62" s="89" t="s">
        <v>236</v>
      </c>
      <c r="F62" s="89"/>
      <c r="G62" s="89"/>
      <c r="H62" s="90" t="s">
        <v>237</v>
      </c>
      <c r="I62" s="91"/>
      <c r="J62" s="59" t="s">
        <v>238</v>
      </c>
      <c r="K62" s="90" t="s">
        <v>239</v>
      </c>
      <c r="L62" s="91"/>
      <c r="M62" s="89" t="s">
        <v>139</v>
      </c>
      <c r="N62" s="89"/>
      <c r="O62" s="38" t="s">
        <v>140</v>
      </c>
    </row>
    <row r="63" spans="1:15" s="245" customFormat="1" ht="22.5" customHeight="1">
      <c r="A63" s="87"/>
      <c r="B63" s="88"/>
      <c r="C63" s="88"/>
      <c r="D63" s="88"/>
      <c r="E63" s="243">
        <f>SUM('वार्षिक वेतन विवरण  '!R9:R15)</f>
        <v>0</v>
      </c>
      <c r="F63" s="243"/>
      <c r="G63" s="243"/>
      <c r="H63" s="243">
        <f>SUM('वार्षिक वेतन विवरण  '!R16:R18)</f>
        <v>0</v>
      </c>
      <c r="I63" s="243"/>
      <c r="J63" s="244">
        <f>'वार्षिक वेतन विवरण  '!R19</f>
        <v>0</v>
      </c>
      <c r="K63" s="243">
        <f>'वार्षिक वेतन विवरण  '!R20</f>
        <v>0</v>
      </c>
      <c r="L63" s="243"/>
      <c r="M63" s="243">
        <v>0</v>
      </c>
      <c r="N63" s="243"/>
      <c r="O63" s="246">
        <f>SUM(E63,H63,J63,K63,M63)</f>
        <v>0</v>
      </c>
    </row>
    <row r="64" spans="1:15" ht="21" customHeight="1" thickBot="1">
      <c r="A64" s="78" t="s">
        <v>141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39" t="s">
        <v>36</v>
      </c>
      <c r="O64" s="44">
        <v>0</v>
      </c>
    </row>
    <row r="65" spans="1:15" ht="20.25" customHeight="1" thickTop="1">
      <c r="A65" s="29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1"/>
      <c r="O65" s="32"/>
    </row>
    <row r="66" spans="1:15" ht="17.25" customHeight="1">
      <c r="A66" s="33"/>
      <c r="B66" s="34"/>
      <c r="C66" s="35"/>
      <c r="D66" s="36"/>
      <c r="E66" s="35"/>
      <c r="F66" s="35"/>
      <c r="G66" s="35"/>
      <c r="H66" s="35"/>
      <c r="I66" s="35"/>
      <c r="J66" s="35"/>
      <c r="K66" s="35"/>
      <c r="L66" s="80" t="s">
        <v>142</v>
      </c>
      <c r="M66" s="80"/>
      <c r="N66" s="80"/>
      <c r="O66" s="37"/>
    </row>
  </sheetData>
  <sheetProtection password="8108" sheet="1" objects="1" scenarios="1" formatColumns="0" formatRows="0"/>
  <mergeCells count="131">
    <mergeCell ref="Q29:S34"/>
    <mergeCell ref="S35:S37"/>
    <mergeCell ref="R36:R37"/>
    <mergeCell ref="B3:C3"/>
    <mergeCell ref="D3:H3"/>
    <mergeCell ref="J3:L3"/>
    <mergeCell ref="N3:O3"/>
    <mergeCell ref="A4:A5"/>
    <mergeCell ref="B4:M4"/>
    <mergeCell ref="B5:M5"/>
    <mergeCell ref="A1:O1"/>
    <mergeCell ref="C2:E2"/>
    <mergeCell ref="F2:G2"/>
    <mergeCell ref="H2:I2"/>
    <mergeCell ref="J2:K2"/>
    <mergeCell ref="L2:O2"/>
    <mergeCell ref="B6:M6"/>
    <mergeCell ref="B7:M7"/>
    <mergeCell ref="A8:A10"/>
    <mergeCell ref="B8:J8"/>
    <mergeCell ref="K8:M8"/>
    <mergeCell ref="N8:O9"/>
    <mergeCell ref="B9:J9"/>
    <mergeCell ref="K9:M9"/>
    <mergeCell ref="B10:J10"/>
    <mergeCell ref="K10:M10"/>
    <mergeCell ref="B11:M11"/>
    <mergeCell ref="A12:A14"/>
    <mergeCell ref="B12:H12"/>
    <mergeCell ref="I12:J12"/>
    <mergeCell ref="K12:M12"/>
    <mergeCell ref="N12:O14"/>
    <mergeCell ref="B13:C14"/>
    <mergeCell ref="D13:E13"/>
    <mergeCell ref="F13:H13"/>
    <mergeCell ref="I13:J13"/>
    <mergeCell ref="B16:D16"/>
    <mergeCell ref="E16:F16"/>
    <mergeCell ref="G16:H16"/>
    <mergeCell ref="J16:M16"/>
    <mergeCell ref="B17:D17"/>
    <mergeCell ref="E17:F17"/>
    <mergeCell ref="G17:H17"/>
    <mergeCell ref="J17:M17"/>
    <mergeCell ref="K13:M13"/>
    <mergeCell ref="D14:E14"/>
    <mergeCell ref="F14:H14"/>
    <mergeCell ref="I14:J14"/>
    <mergeCell ref="K14:M14"/>
    <mergeCell ref="B15:M15"/>
    <mergeCell ref="I23:K23"/>
    <mergeCell ref="C24:E24"/>
    <mergeCell ref="I24:K24"/>
    <mergeCell ref="C25:E25"/>
    <mergeCell ref="I25:K25"/>
    <mergeCell ref="C26:E26"/>
    <mergeCell ref="I26:K26"/>
    <mergeCell ref="B18:M18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C31:E31"/>
    <mergeCell ref="H31:K31"/>
    <mergeCell ref="B32:M32"/>
    <mergeCell ref="B33:M33"/>
    <mergeCell ref="C27:E27"/>
    <mergeCell ref="I27:K27"/>
    <mergeCell ref="C28:E28"/>
    <mergeCell ref="I28:K28"/>
    <mergeCell ref="C29:E29"/>
    <mergeCell ref="I29:K29"/>
    <mergeCell ref="B43:M43"/>
    <mergeCell ref="B44:M44"/>
    <mergeCell ref="B45:M45"/>
    <mergeCell ref="B46:M46"/>
    <mergeCell ref="B47:M47"/>
    <mergeCell ref="B48:M48"/>
    <mergeCell ref="B34:M34"/>
    <mergeCell ref="B35:M35"/>
    <mergeCell ref="A36:A45"/>
    <mergeCell ref="B36:O36"/>
    <mergeCell ref="B37:M37"/>
    <mergeCell ref="B38:M38"/>
    <mergeCell ref="B39:M39"/>
    <mergeCell ref="B40:M40"/>
    <mergeCell ref="B41:M41"/>
    <mergeCell ref="B42:M42"/>
    <mergeCell ref="B55:M55"/>
    <mergeCell ref="B56:M56"/>
    <mergeCell ref="B57:M57"/>
    <mergeCell ref="J52:L52"/>
    <mergeCell ref="B53:D53"/>
    <mergeCell ref="F53:H53"/>
    <mergeCell ref="J53:L53"/>
    <mergeCell ref="B54:D54"/>
    <mergeCell ref="F54:H54"/>
    <mergeCell ref="J54:L54"/>
    <mergeCell ref="B52:D52"/>
    <mergeCell ref="F52:H52"/>
    <mergeCell ref="E63:G63"/>
    <mergeCell ref="H63:I63"/>
    <mergeCell ref="K63:L63"/>
    <mergeCell ref="M63:N63"/>
    <mergeCell ref="A64:M64"/>
    <mergeCell ref="L66:N66"/>
    <mergeCell ref="C58:M58"/>
    <mergeCell ref="B59:M59"/>
    <mergeCell ref="B60:M60"/>
    <mergeCell ref="B61:M61"/>
    <mergeCell ref="A62:A63"/>
    <mergeCell ref="B62:D63"/>
    <mergeCell ref="E62:G62"/>
    <mergeCell ref="H62:I62"/>
    <mergeCell ref="K62:L62"/>
    <mergeCell ref="M62:N62"/>
    <mergeCell ref="A49:A59"/>
    <mergeCell ref="B49:O49"/>
    <mergeCell ref="B50:E50"/>
    <mergeCell ref="F50:I50"/>
    <mergeCell ref="J50:M50"/>
    <mergeCell ref="B51:D51"/>
    <mergeCell ref="F51:H51"/>
    <mergeCell ref="J51:L51"/>
  </mergeCells>
  <conditionalFormatting sqref="B63:D63"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B63:D63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R36">
      <formula1>"Yes, No"</formula1>
    </dataValidation>
  </dataValidations>
  <pageMargins left="0.45" right="0.25" top="0" bottom="0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मास्टर शीट </vt:lpstr>
      <vt:lpstr>वार्षिक वेतन विवरण  </vt:lpstr>
      <vt:lpstr>अन्य कटौती </vt:lpstr>
      <vt:lpstr>आयकर गणना </vt:lpstr>
      <vt:lpstr>'आयकर गणना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2022-03-01T05:08:54Z</cp:lastPrinted>
  <dcterms:created xsi:type="dcterms:W3CDTF">2022-02-26T13:16:14Z</dcterms:created>
  <dcterms:modified xsi:type="dcterms:W3CDTF">2022-03-01T05:31:21Z</dcterms:modified>
</cp:coreProperties>
</file>