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5" windowWidth="20115" windowHeight="8010" tabRatio="928"/>
  </bookViews>
  <sheets>
    <sheet name="Help" sheetId="9" r:id="rId1"/>
    <sheet name="School Info" sheetId="3" r:id="rId2"/>
    <sheet name="Food-Data Entry" sheetId="4" r:id="rId3"/>
    <sheet name="MIlk-Data Entry" sheetId="14" r:id="rId4"/>
    <sheet name="MPR" sheetId="6" r:id="rId5"/>
    <sheet name="Upyogita Praman-Patra" sheetId="7" r:id="rId6"/>
    <sheet name="Food Stock 1-8" sheetId="12" r:id="rId7"/>
    <sheet name="Milk Stock &amp; Distri.Register" sheetId="10" r:id="rId8"/>
    <sheet name="Milk Quality Register" sheetId="15" r:id="rId9"/>
  </sheets>
  <definedNames>
    <definedName name="_xlnm._FilterDatabase" localSheetId="6" hidden="1">'Food Stock 1-8'!$B$2:$Z$40</definedName>
    <definedName name="_xlnm._FilterDatabase" localSheetId="8" hidden="1">'Milk Quality Register'!$C$2:$AL$18</definedName>
    <definedName name="_xlnm._FilterDatabase" localSheetId="7" hidden="1">'Milk Stock &amp; Distri.Register'!$C$2:$AL$20</definedName>
    <definedName name="_xlnm.Print_Area" localSheetId="6">'Food Stock 1-8'!$B$2:$Z$40,'Food Stock 1-8'!$B$43:$Z$81,'Food Stock 1-8'!$B$84:$Z$122</definedName>
    <definedName name="_xlnm.Print_Area" localSheetId="2">'Food-Data Entry'!#REF!,'Food-Data Entry'!#REF!</definedName>
    <definedName name="_xlnm.Print_Area" localSheetId="8">'Milk Quality Register'!$C$2:$AL$20</definedName>
    <definedName name="_xlnm.Print_Area" localSheetId="7">'Milk Stock &amp; Distri.Register'!$C$2:$AL$31</definedName>
    <definedName name="_xlnm.Print_Area" localSheetId="3">'MIlk-Data Entry'!#REF!,'MIlk-Data Entry'!#REF!</definedName>
    <definedName name="_xlnm.Print_Area" localSheetId="4">MPR!$B$2:$O$62</definedName>
    <definedName name="_xlnm.Print_Area" localSheetId="5">'Upyogita Praman-Patra'!$D$2:$M$49</definedName>
  </definedNames>
  <calcPr calcId="124519"/>
</workbook>
</file>

<file path=xl/calcChain.xml><?xml version="1.0" encoding="utf-8"?>
<calcChain xmlns="http://schemas.openxmlformats.org/spreadsheetml/2006/main">
  <c r="AJ18" i="10"/>
  <c r="AJ16"/>
  <c r="AJ14"/>
  <c r="AJ12"/>
  <c r="X3" i="12"/>
  <c r="O8" i="14"/>
  <c r="W7" i="4"/>
  <c r="U5" i="10"/>
  <c r="N2"/>
  <c r="K16" i="15"/>
  <c r="K15"/>
  <c r="H16"/>
  <c r="N16" s="1"/>
  <c r="H15"/>
  <c r="N15" s="1"/>
  <c r="F15"/>
  <c r="F16"/>
  <c r="D16"/>
  <c r="D15"/>
  <c r="U5"/>
  <c r="K4"/>
  <c r="J4"/>
  <c r="I4"/>
  <c r="L4" s="1"/>
  <c r="G4"/>
  <c r="F4"/>
  <c r="E4"/>
  <c r="D4"/>
  <c r="C4"/>
  <c r="N2"/>
  <c r="AF29" i="10"/>
  <c r="AF27"/>
  <c r="AB30"/>
  <c r="AB29"/>
  <c r="AB28"/>
  <c r="AB27"/>
  <c r="AB26"/>
  <c r="AB25"/>
  <c r="O26"/>
  <c r="S26" s="1"/>
  <c r="O27"/>
  <c r="S27" s="1"/>
  <c r="O28"/>
  <c r="S28" s="1"/>
  <c r="O29"/>
  <c r="S29" s="1"/>
  <c r="O30"/>
  <c r="S30" s="1"/>
  <c r="S25"/>
  <c r="O25"/>
  <c r="I26"/>
  <c r="I27"/>
  <c r="I28"/>
  <c r="I29"/>
  <c r="I30"/>
  <c r="I25"/>
  <c r="D30"/>
  <c r="C30"/>
  <c r="D29"/>
  <c r="C29"/>
  <c r="D28"/>
  <c r="C28"/>
  <c r="D27"/>
  <c r="C27"/>
  <c r="D26"/>
  <c r="C26"/>
  <c r="D25"/>
  <c r="C25"/>
  <c r="AH18"/>
  <c r="AH16"/>
  <c r="AH14"/>
  <c r="AH12"/>
  <c r="AH10"/>
  <c r="AG18"/>
  <c r="AG16"/>
  <c r="AG14"/>
  <c r="AG12"/>
  <c r="AG10"/>
  <c r="AF10"/>
  <c r="AB18"/>
  <c r="AB16"/>
  <c r="AB14"/>
  <c r="AB12"/>
  <c r="AB10"/>
  <c r="AA18"/>
  <c r="AA16"/>
  <c r="AA14"/>
  <c r="AA12"/>
  <c r="AA10"/>
  <c r="Z10"/>
  <c r="BJ7" i="14"/>
  <c r="BK7"/>
  <c r="BL7"/>
  <c r="BJ14"/>
  <c r="BK14"/>
  <c r="BL14"/>
  <c r="BJ21"/>
  <c r="BK21"/>
  <c r="BL21"/>
  <c r="BJ28"/>
  <c r="BK28"/>
  <c r="BL28"/>
  <c r="BJ35"/>
  <c r="BK35"/>
  <c r="BL35"/>
  <c r="BI35"/>
  <c r="BI28"/>
  <c r="BI14"/>
  <c r="BI21"/>
  <c r="BI7"/>
  <c r="G12"/>
  <c r="G32" i="6" s="1"/>
  <c r="G10" i="14"/>
  <c r="G31" i="6" s="1"/>
  <c r="AP38" i="14"/>
  <c r="AO38"/>
  <c r="AD4" i="10"/>
  <c r="I4"/>
  <c r="K4"/>
  <c r="J4"/>
  <c r="G4"/>
  <c r="F4"/>
  <c r="E4"/>
  <c r="D4"/>
  <c r="C4"/>
  <c r="AC38" i="14"/>
  <c r="AD38"/>
  <c r="AE38"/>
  <c r="AF38"/>
  <c r="AI38"/>
  <c r="AJ38"/>
  <c r="AK38"/>
  <c r="S7"/>
  <c r="T7"/>
  <c r="AA7"/>
  <c r="Z7"/>
  <c r="Y7"/>
  <c r="W7"/>
  <c r="V7"/>
  <c r="U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7"/>
  <c r="AB90" i="12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E49"/>
  <c r="F49"/>
  <c r="G49"/>
  <c r="H49"/>
  <c r="I49"/>
  <c r="J49"/>
  <c r="T49"/>
  <c r="U49"/>
  <c r="W49"/>
  <c r="X49"/>
  <c r="AB49"/>
  <c r="G50"/>
  <c r="H50"/>
  <c r="I50"/>
  <c r="J50"/>
  <c r="T50"/>
  <c r="U50"/>
  <c r="W50"/>
  <c r="X50"/>
  <c r="AB50"/>
  <c r="G51"/>
  <c r="H51"/>
  <c r="I51"/>
  <c r="J51"/>
  <c r="T51"/>
  <c r="U51"/>
  <c r="W51"/>
  <c r="X51"/>
  <c r="AB51"/>
  <c r="G52"/>
  <c r="H52"/>
  <c r="I52"/>
  <c r="J52"/>
  <c r="T52"/>
  <c r="U52"/>
  <c r="W52"/>
  <c r="X52"/>
  <c r="AB52"/>
  <c r="G53"/>
  <c r="H53"/>
  <c r="I53"/>
  <c r="J53"/>
  <c r="T53"/>
  <c r="U53"/>
  <c r="W53"/>
  <c r="X53"/>
  <c r="AB53"/>
  <c r="G54"/>
  <c r="H54"/>
  <c r="I54"/>
  <c r="J54"/>
  <c r="T54"/>
  <c r="U54"/>
  <c r="W54"/>
  <c r="X54"/>
  <c r="Y54" s="1"/>
  <c r="AB54"/>
  <c r="G55"/>
  <c r="H55"/>
  <c r="I55"/>
  <c r="J55"/>
  <c r="T55"/>
  <c r="U55"/>
  <c r="W55"/>
  <c r="Y55" s="1"/>
  <c r="X55"/>
  <c r="AB55"/>
  <c r="G56"/>
  <c r="H56"/>
  <c r="I56"/>
  <c r="J56"/>
  <c r="T56"/>
  <c r="U56"/>
  <c r="W56"/>
  <c r="X56"/>
  <c r="AB56"/>
  <c r="G57"/>
  <c r="H57"/>
  <c r="I57"/>
  <c r="J57"/>
  <c r="T57"/>
  <c r="U57"/>
  <c r="W57"/>
  <c r="X57"/>
  <c r="AB57"/>
  <c r="G58"/>
  <c r="H58"/>
  <c r="I58"/>
  <c r="J58"/>
  <c r="T58"/>
  <c r="U58"/>
  <c r="W58"/>
  <c r="X58"/>
  <c r="AB58"/>
  <c r="G59"/>
  <c r="H59"/>
  <c r="I59"/>
  <c r="J59"/>
  <c r="T59"/>
  <c r="U59"/>
  <c r="W59"/>
  <c r="Y59" s="1"/>
  <c r="X59"/>
  <c r="AB59"/>
  <c r="G60"/>
  <c r="H60"/>
  <c r="I60"/>
  <c r="J60"/>
  <c r="T60"/>
  <c r="U60"/>
  <c r="V60" s="1"/>
  <c r="W60"/>
  <c r="X60"/>
  <c r="AB60"/>
  <c r="G61"/>
  <c r="H61"/>
  <c r="I61"/>
  <c r="J61"/>
  <c r="T61"/>
  <c r="U61"/>
  <c r="W61"/>
  <c r="X61"/>
  <c r="AB61"/>
  <c r="G62"/>
  <c r="H62"/>
  <c r="I62"/>
  <c r="J62"/>
  <c r="T62"/>
  <c r="U62"/>
  <c r="W62"/>
  <c r="X62"/>
  <c r="AB62"/>
  <c r="G63"/>
  <c r="H63"/>
  <c r="I63"/>
  <c r="J63"/>
  <c r="T63"/>
  <c r="U63"/>
  <c r="W63"/>
  <c r="X63"/>
  <c r="AB63"/>
  <c r="G64"/>
  <c r="H64"/>
  <c r="I64"/>
  <c r="J64"/>
  <c r="T64"/>
  <c r="U64"/>
  <c r="V64" s="1"/>
  <c r="W64"/>
  <c r="X64"/>
  <c r="AB64"/>
  <c r="G65"/>
  <c r="H65"/>
  <c r="I65"/>
  <c r="J65"/>
  <c r="T65"/>
  <c r="U65"/>
  <c r="W65"/>
  <c r="X65"/>
  <c r="AB65"/>
  <c r="G66"/>
  <c r="H66"/>
  <c r="I66"/>
  <c r="J66"/>
  <c r="T66"/>
  <c r="U66"/>
  <c r="V66" s="1"/>
  <c r="W66"/>
  <c r="X66"/>
  <c r="AB66"/>
  <c r="G67"/>
  <c r="H67"/>
  <c r="I67"/>
  <c r="J67"/>
  <c r="T67"/>
  <c r="U67"/>
  <c r="W67"/>
  <c r="X67"/>
  <c r="AB67"/>
  <c r="G68"/>
  <c r="H68"/>
  <c r="I68"/>
  <c r="J68"/>
  <c r="T68"/>
  <c r="U68"/>
  <c r="V68" s="1"/>
  <c r="W68"/>
  <c r="X68"/>
  <c r="AB68"/>
  <c r="G69"/>
  <c r="H69"/>
  <c r="I69"/>
  <c r="J69"/>
  <c r="T69"/>
  <c r="U69"/>
  <c r="W69"/>
  <c r="X69"/>
  <c r="AB69"/>
  <c r="G70"/>
  <c r="H70"/>
  <c r="I70"/>
  <c r="J70"/>
  <c r="T70"/>
  <c r="U70"/>
  <c r="V70" s="1"/>
  <c r="W70"/>
  <c r="X70"/>
  <c r="AB70"/>
  <c r="G71"/>
  <c r="H71"/>
  <c r="I71"/>
  <c r="J71"/>
  <c r="T71"/>
  <c r="U71"/>
  <c r="W71"/>
  <c r="Y71" s="1"/>
  <c r="X71"/>
  <c r="AB71"/>
  <c r="G72"/>
  <c r="H72"/>
  <c r="I72"/>
  <c r="J72"/>
  <c r="T72"/>
  <c r="U72"/>
  <c r="W72"/>
  <c r="X72"/>
  <c r="AB72"/>
  <c r="G73"/>
  <c r="H73"/>
  <c r="I73"/>
  <c r="J73"/>
  <c r="T73"/>
  <c r="U73"/>
  <c r="W73"/>
  <c r="X73"/>
  <c r="AB73"/>
  <c r="G74"/>
  <c r="H74"/>
  <c r="I74"/>
  <c r="J74"/>
  <c r="T74"/>
  <c r="U74"/>
  <c r="V74" s="1"/>
  <c r="W74"/>
  <c r="X74"/>
  <c r="AB74"/>
  <c r="G75"/>
  <c r="H75"/>
  <c r="I75"/>
  <c r="J75"/>
  <c r="T75"/>
  <c r="U75"/>
  <c r="W75"/>
  <c r="X75"/>
  <c r="AB75"/>
  <c r="G76"/>
  <c r="H76"/>
  <c r="I76"/>
  <c r="J76"/>
  <c r="T76"/>
  <c r="U76"/>
  <c r="W76"/>
  <c r="X76"/>
  <c r="AB76"/>
  <c r="G77"/>
  <c r="H77"/>
  <c r="I77"/>
  <c r="J77"/>
  <c r="T77"/>
  <c r="U77"/>
  <c r="W77"/>
  <c r="X77"/>
  <c r="AB77"/>
  <c r="G78"/>
  <c r="H78"/>
  <c r="I78"/>
  <c r="J78"/>
  <c r="T78"/>
  <c r="U78"/>
  <c r="V78" s="1"/>
  <c r="W78"/>
  <c r="X78"/>
  <c r="AB78"/>
  <c r="G79"/>
  <c r="H79"/>
  <c r="I79"/>
  <c r="J79"/>
  <c r="T79"/>
  <c r="U79"/>
  <c r="W79"/>
  <c r="Y79" s="1"/>
  <c r="X79"/>
  <c r="AB79"/>
  <c r="V7" i="4"/>
  <c r="R49" i="12" s="1"/>
  <c r="S49" s="1"/>
  <c r="U7" i="4"/>
  <c r="Q49" i="12" s="1"/>
  <c r="S7" i="4"/>
  <c r="R8" i="12" s="1"/>
  <c r="R7" i="4"/>
  <c r="Q8" i="12" s="1"/>
  <c r="P23" i="3"/>
  <c r="O23"/>
  <c r="N23"/>
  <c r="P22"/>
  <c r="P21"/>
  <c r="P20"/>
  <c r="P16"/>
  <c r="D10" i="6" s="1"/>
  <c r="P15" i="3"/>
  <c r="P14"/>
  <c r="P13"/>
  <c r="P12"/>
  <c r="O17"/>
  <c r="N17"/>
  <c r="F8" i="12"/>
  <c r="F90" s="1"/>
  <c r="E8"/>
  <c r="E90" s="1"/>
  <c r="X38"/>
  <c r="X120" s="1"/>
  <c r="U38"/>
  <c r="U120" s="1"/>
  <c r="X37"/>
  <c r="U37"/>
  <c r="U119" s="1"/>
  <c r="X36"/>
  <c r="U36"/>
  <c r="U118" s="1"/>
  <c r="X35"/>
  <c r="U35"/>
  <c r="U117" s="1"/>
  <c r="X34"/>
  <c r="X116" s="1"/>
  <c r="U34"/>
  <c r="U116" s="1"/>
  <c r="X33"/>
  <c r="X115" s="1"/>
  <c r="U33"/>
  <c r="U115" s="1"/>
  <c r="X32"/>
  <c r="X114" s="1"/>
  <c r="U32"/>
  <c r="U114" s="1"/>
  <c r="X31"/>
  <c r="X113" s="1"/>
  <c r="U31"/>
  <c r="U113" s="1"/>
  <c r="X30"/>
  <c r="X112" s="1"/>
  <c r="U30"/>
  <c r="U112" s="1"/>
  <c r="X29"/>
  <c r="X111" s="1"/>
  <c r="U29"/>
  <c r="U111" s="1"/>
  <c r="X28"/>
  <c r="X110" s="1"/>
  <c r="U28"/>
  <c r="U110" s="1"/>
  <c r="X27"/>
  <c r="X109" s="1"/>
  <c r="U27"/>
  <c r="U109" s="1"/>
  <c r="X26"/>
  <c r="X108" s="1"/>
  <c r="U26"/>
  <c r="U108" s="1"/>
  <c r="X25"/>
  <c r="X107" s="1"/>
  <c r="U25"/>
  <c r="U107" s="1"/>
  <c r="X24"/>
  <c r="X106" s="1"/>
  <c r="U24"/>
  <c r="U106" s="1"/>
  <c r="X23"/>
  <c r="X105" s="1"/>
  <c r="U23"/>
  <c r="U105" s="1"/>
  <c r="X22"/>
  <c r="X104" s="1"/>
  <c r="U22"/>
  <c r="U104" s="1"/>
  <c r="X21"/>
  <c r="X103" s="1"/>
  <c r="U21"/>
  <c r="U103" s="1"/>
  <c r="X20"/>
  <c r="X102" s="1"/>
  <c r="U20"/>
  <c r="U102" s="1"/>
  <c r="X19"/>
  <c r="X101" s="1"/>
  <c r="U19"/>
  <c r="U101" s="1"/>
  <c r="X18"/>
  <c r="X100" s="1"/>
  <c r="U18"/>
  <c r="U100" s="1"/>
  <c r="X17"/>
  <c r="X99" s="1"/>
  <c r="U17"/>
  <c r="U99" s="1"/>
  <c r="X16"/>
  <c r="X98" s="1"/>
  <c r="U16"/>
  <c r="U98" s="1"/>
  <c r="X15"/>
  <c r="X97" s="1"/>
  <c r="U15"/>
  <c r="U97" s="1"/>
  <c r="X14"/>
  <c r="X96" s="1"/>
  <c r="U14"/>
  <c r="U96" s="1"/>
  <c r="X13"/>
  <c r="X95" s="1"/>
  <c r="U13"/>
  <c r="U95" s="1"/>
  <c r="X12"/>
  <c r="X94" s="1"/>
  <c r="U12"/>
  <c r="U94" s="1"/>
  <c r="X11"/>
  <c r="X93" s="1"/>
  <c r="U11"/>
  <c r="U93" s="1"/>
  <c r="X10"/>
  <c r="X92" s="1"/>
  <c r="U10"/>
  <c r="U92" s="1"/>
  <c r="X9"/>
  <c r="X91" s="1"/>
  <c r="U9"/>
  <c r="U91" s="1"/>
  <c r="X8"/>
  <c r="X90" s="1"/>
  <c r="U8"/>
  <c r="U90" s="1"/>
  <c r="J38"/>
  <c r="J120" s="1"/>
  <c r="I38"/>
  <c r="I120" s="1"/>
  <c r="H38"/>
  <c r="H120" s="1"/>
  <c r="G38"/>
  <c r="G120" s="1"/>
  <c r="J37"/>
  <c r="J119" s="1"/>
  <c r="I37"/>
  <c r="I119" s="1"/>
  <c r="H37"/>
  <c r="H119" s="1"/>
  <c r="G37"/>
  <c r="G119" s="1"/>
  <c r="J36"/>
  <c r="J118" s="1"/>
  <c r="I36"/>
  <c r="I118" s="1"/>
  <c r="H36"/>
  <c r="H118" s="1"/>
  <c r="G36"/>
  <c r="G118" s="1"/>
  <c r="J35"/>
  <c r="J117" s="1"/>
  <c r="I35"/>
  <c r="I117" s="1"/>
  <c r="H35"/>
  <c r="H117" s="1"/>
  <c r="G35"/>
  <c r="G117" s="1"/>
  <c r="J34"/>
  <c r="J116" s="1"/>
  <c r="I34"/>
  <c r="I116" s="1"/>
  <c r="H34"/>
  <c r="H116" s="1"/>
  <c r="G34"/>
  <c r="G116" s="1"/>
  <c r="J33"/>
  <c r="J115" s="1"/>
  <c r="I33"/>
  <c r="I115" s="1"/>
  <c r="H33"/>
  <c r="H115" s="1"/>
  <c r="G33"/>
  <c r="G115" s="1"/>
  <c r="J32"/>
  <c r="J114" s="1"/>
  <c r="I32"/>
  <c r="I114" s="1"/>
  <c r="H32"/>
  <c r="H114" s="1"/>
  <c r="G32"/>
  <c r="G114" s="1"/>
  <c r="J31"/>
  <c r="J113" s="1"/>
  <c r="I31"/>
  <c r="I113" s="1"/>
  <c r="H31"/>
  <c r="H113" s="1"/>
  <c r="G31"/>
  <c r="G113" s="1"/>
  <c r="J30"/>
  <c r="J112" s="1"/>
  <c r="I30"/>
  <c r="I112" s="1"/>
  <c r="H30"/>
  <c r="H112" s="1"/>
  <c r="G30"/>
  <c r="G112" s="1"/>
  <c r="J29"/>
  <c r="J111" s="1"/>
  <c r="I29"/>
  <c r="I111" s="1"/>
  <c r="H29"/>
  <c r="H111" s="1"/>
  <c r="G29"/>
  <c r="G111" s="1"/>
  <c r="J28"/>
  <c r="J110" s="1"/>
  <c r="I28"/>
  <c r="I110" s="1"/>
  <c r="H28"/>
  <c r="H110" s="1"/>
  <c r="G28"/>
  <c r="G110" s="1"/>
  <c r="J27"/>
  <c r="J109" s="1"/>
  <c r="I27"/>
  <c r="I109" s="1"/>
  <c r="H27"/>
  <c r="H109" s="1"/>
  <c r="G27"/>
  <c r="G109" s="1"/>
  <c r="J26"/>
  <c r="J108" s="1"/>
  <c r="I26"/>
  <c r="I108" s="1"/>
  <c r="H26"/>
  <c r="H108" s="1"/>
  <c r="G26"/>
  <c r="G108" s="1"/>
  <c r="J25"/>
  <c r="J107" s="1"/>
  <c r="I25"/>
  <c r="I107" s="1"/>
  <c r="H25"/>
  <c r="H107" s="1"/>
  <c r="G25"/>
  <c r="G107" s="1"/>
  <c r="J24"/>
  <c r="J106" s="1"/>
  <c r="I24"/>
  <c r="I106" s="1"/>
  <c r="H24"/>
  <c r="H106" s="1"/>
  <c r="G24"/>
  <c r="G106" s="1"/>
  <c r="J23"/>
  <c r="J105" s="1"/>
  <c r="I23"/>
  <c r="I105" s="1"/>
  <c r="H23"/>
  <c r="H105" s="1"/>
  <c r="G23"/>
  <c r="G105" s="1"/>
  <c r="J22"/>
  <c r="J104" s="1"/>
  <c r="I22"/>
  <c r="I104" s="1"/>
  <c r="H22"/>
  <c r="H104" s="1"/>
  <c r="G22"/>
  <c r="G104" s="1"/>
  <c r="J21"/>
  <c r="J103" s="1"/>
  <c r="I21"/>
  <c r="I103" s="1"/>
  <c r="H21"/>
  <c r="H103" s="1"/>
  <c r="G21"/>
  <c r="G103" s="1"/>
  <c r="J20"/>
  <c r="J102" s="1"/>
  <c r="I20"/>
  <c r="I102" s="1"/>
  <c r="H20"/>
  <c r="H102" s="1"/>
  <c r="G20"/>
  <c r="G102" s="1"/>
  <c r="J19"/>
  <c r="J101" s="1"/>
  <c r="I19"/>
  <c r="I101" s="1"/>
  <c r="H19"/>
  <c r="H101" s="1"/>
  <c r="G19"/>
  <c r="G101" s="1"/>
  <c r="J18"/>
  <c r="J100" s="1"/>
  <c r="I18"/>
  <c r="I100" s="1"/>
  <c r="H18"/>
  <c r="H100" s="1"/>
  <c r="G18"/>
  <c r="G100" s="1"/>
  <c r="J17"/>
  <c r="J99" s="1"/>
  <c r="I17"/>
  <c r="I99" s="1"/>
  <c r="H17"/>
  <c r="H99" s="1"/>
  <c r="G17"/>
  <c r="G99" s="1"/>
  <c r="J16"/>
  <c r="J98" s="1"/>
  <c r="I16"/>
  <c r="I98" s="1"/>
  <c r="H16"/>
  <c r="H98" s="1"/>
  <c r="G16"/>
  <c r="G98" s="1"/>
  <c r="J15"/>
  <c r="J97" s="1"/>
  <c r="I15"/>
  <c r="I97" s="1"/>
  <c r="H15"/>
  <c r="H97" s="1"/>
  <c r="G15"/>
  <c r="G97" s="1"/>
  <c r="J14"/>
  <c r="J96" s="1"/>
  <c r="I14"/>
  <c r="I96" s="1"/>
  <c r="H14"/>
  <c r="H96" s="1"/>
  <c r="G14"/>
  <c r="G96" s="1"/>
  <c r="J13"/>
  <c r="J95" s="1"/>
  <c r="I13"/>
  <c r="I95" s="1"/>
  <c r="H13"/>
  <c r="H95" s="1"/>
  <c r="G13"/>
  <c r="G95" s="1"/>
  <c r="J12"/>
  <c r="J94" s="1"/>
  <c r="I12"/>
  <c r="I94" s="1"/>
  <c r="H12"/>
  <c r="H94" s="1"/>
  <c r="G12"/>
  <c r="G94" s="1"/>
  <c r="J11"/>
  <c r="J93" s="1"/>
  <c r="I11"/>
  <c r="I93" s="1"/>
  <c r="H11"/>
  <c r="H93" s="1"/>
  <c r="G11"/>
  <c r="G93" s="1"/>
  <c r="J10"/>
  <c r="J92" s="1"/>
  <c r="I10"/>
  <c r="I92" s="1"/>
  <c r="H10"/>
  <c r="H92" s="1"/>
  <c r="G10"/>
  <c r="G92" s="1"/>
  <c r="J9"/>
  <c r="J91" s="1"/>
  <c r="I9"/>
  <c r="I91" s="1"/>
  <c r="H9"/>
  <c r="H91" s="1"/>
  <c r="G9"/>
  <c r="G91" s="1"/>
  <c r="J8"/>
  <c r="J90" s="1"/>
  <c r="I8"/>
  <c r="I90" s="1"/>
  <c r="AC37" i="4"/>
  <c r="AK38"/>
  <c r="M81" i="12" s="1"/>
  <c r="AJ38" i="4"/>
  <c r="G11" s="1"/>
  <c r="AI38"/>
  <c r="G12" s="1"/>
  <c r="AH38"/>
  <c r="M39" i="12" s="1"/>
  <c r="K12" i="7"/>
  <c r="K9"/>
  <c r="J46"/>
  <c r="H37" i="6"/>
  <c r="G37"/>
  <c r="F37"/>
  <c r="D37"/>
  <c r="C37"/>
  <c r="B37"/>
  <c r="K32"/>
  <c r="K31"/>
  <c r="E32"/>
  <c r="H32"/>
  <c r="D32"/>
  <c r="D31"/>
  <c r="E31"/>
  <c r="H31"/>
  <c r="L10"/>
  <c r="L9"/>
  <c r="AN38" i="14"/>
  <c r="F12" s="1"/>
  <c r="AM38"/>
  <c r="E4"/>
  <c r="AR3"/>
  <c r="B2"/>
  <c r="AC8" i="4"/>
  <c r="J17" i="7" s="1"/>
  <c r="AC9" i="4"/>
  <c r="J18" i="7" s="1"/>
  <c r="AC10" i="4"/>
  <c r="J19" i="7" s="1"/>
  <c r="AC11" i="4"/>
  <c r="J20" i="7" s="1"/>
  <c r="AC12" i="4"/>
  <c r="J21" i="7" s="1"/>
  <c r="AC13" i="4"/>
  <c r="J22" i="7" s="1"/>
  <c r="AC14" i="4"/>
  <c r="J23" i="7" s="1"/>
  <c r="AC15" i="4"/>
  <c r="J24" i="7" s="1"/>
  <c r="AC16" i="4"/>
  <c r="J25" i="7" s="1"/>
  <c r="AC17" i="4"/>
  <c r="J26" i="7" s="1"/>
  <c r="AC18" i="4"/>
  <c r="J27" i="7" s="1"/>
  <c r="AC19" i="4"/>
  <c r="J28" i="7" s="1"/>
  <c r="AC20" i="4"/>
  <c r="J29" i="7" s="1"/>
  <c r="AC21" i="4"/>
  <c r="J30" i="7" s="1"/>
  <c r="AC22" i="4"/>
  <c r="J31" i="7" s="1"/>
  <c r="AC23" i="4"/>
  <c r="J32" i="7" s="1"/>
  <c r="AC24" i="4"/>
  <c r="J33" i="7" s="1"/>
  <c r="AC25" i="4"/>
  <c r="J34" i="7" s="1"/>
  <c r="AC26" i="4"/>
  <c r="J35" i="7" s="1"/>
  <c r="AC27" i="4"/>
  <c r="J36" i="7" s="1"/>
  <c r="AC28" i="4"/>
  <c r="J37" i="7" s="1"/>
  <c r="AC29" i="4"/>
  <c r="J38" i="7" s="1"/>
  <c r="AC30" i="4"/>
  <c r="J39" i="7" s="1"/>
  <c r="AC31" i="4"/>
  <c r="J40" i="7" s="1"/>
  <c r="AC32" i="4"/>
  <c r="J41" i="7" s="1"/>
  <c r="AC33" i="4"/>
  <c r="J42" i="7" s="1"/>
  <c r="AC34" i="4"/>
  <c r="J43" i="7" s="1"/>
  <c r="AC35" i="4"/>
  <c r="J44" i="7" s="1"/>
  <c r="AC36" i="4"/>
  <c r="J45" i="7" s="1"/>
  <c r="AC7" i="4"/>
  <c r="J16" i="7" s="1"/>
  <c r="J17" i="4"/>
  <c r="E17"/>
  <c r="AG38"/>
  <c r="E81" i="12" s="1"/>
  <c r="AF38" i="4"/>
  <c r="F11" s="1"/>
  <c r="I11" s="1"/>
  <c r="AE38"/>
  <c r="F12" s="1"/>
  <c r="AD38"/>
  <c r="E39" i="12" s="1"/>
  <c r="AB38" i="4"/>
  <c r="AA38"/>
  <c r="Y38"/>
  <c r="H8" i="12"/>
  <c r="H90" s="1"/>
  <c r="G8"/>
  <c r="G90" s="1"/>
  <c r="H4" i="15" l="1"/>
  <c r="M4"/>
  <c r="AN12"/>
  <c r="AN16"/>
  <c r="AN9"/>
  <c r="AC10" i="10"/>
  <c r="AG20"/>
  <c r="AA20"/>
  <c r="AH20"/>
  <c r="AB20"/>
  <c r="AI10"/>
  <c r="V69" i="12"/>
  <c r="V61"/>
  <c r="M121"/>
  <c r="X118"/>
  <c r="V79"/>
  <c r="Y77"/>
  <c r="V75"/>
  <c r="Y73"/>
  <c r="V71"/>
  <c r="Y69"/>
  <c r="V67"/>
  <c r="Y65"/>
  <c r="V59"/>
  <c r="Y57"/>
  <c r="V55"/>
  <c r="Y53"/>
  <c r="V51"/>
  <c r="Y49"/>
  <c r="K49"/>
  <c r="M40"/>
  <c r="M122" s="1"/>
  <c r="Q90"/>
  <c r="E80"/>
  <c r="E121" s="1"/>
  <c r="Y78"/>
  <c r="V76"/>
  <c r="Y74"/>
  <c r="V72"/>
  <c r="Y70"/>
  <c r="V65"/>
  <c r="Y64"/>
  <c r="Y58"/>
  <c r="V56"/>
  <c r="V52"/>
  <c r="Y50"/>
  <c r="F13" i="4"/>
  <c r="E40" i="12"/>
  <c r="E122" s="1"/>
  <c r="G10" i="4"/>
  <c r="M80" i="12"/>
  <c r="X117"/>
  <c r="X119"/>
  <c r="G13" i="4"/>
  <c r="V77" i="12"/>
  <c r="Y76"/>
  <c r="V73"/>
  <c r="Y72"/>
  <c r="Y66"/>
  <c r="Y62"/>
  <c r="V57"/>
  <c r="Y56"/>
  <c r="V53"/>
  <c r="Y52"/>
  <c r="V49"/>
  <c r="R90"/>
  <c r="I12" i="14"/>
  <c r="F10"/>
  <c r="F31" i="6" s="1"/>
  <c r="AB7" i="14"/>
  <c r="AL38"/>
  <c r="H4" i="10"/>
  <c r="L4"/>
  <c r="X7" i="14"/>
  <c r="Y75" i="12"/>
  <c r="Y63"/>
  <c r="Y61"/>
  <c r="Y60"/>
  <c r="V58"/>
  <c r="V54"/>
  <c r="Y51"/>
  <c r="L49"/>
  <c r="Y68"/>
  <c r="Y67"/>
  <c r="V63"/>
  <c r="V62"/>
  <c r="V50"/>
  <c r="L8"/>
  <c r="K8"/>
  <c r="S8"/>
  <c r="S90" s="1"/>
  <c r="P17" i="3"/>
  <c r="D9" i="6"/>
  <c r="I12" i="4"/>
  <c r="F32" i="6"/>
  <c r="AC38" i="4"/>
  <c r="I15" i="6" s="1"/>
  <c r="X7" i="4"/>
  <c r="T7"/>
  <c r="G23" i="6"/>
  <c r="AN17" i="15" l="1"/>
  <c r="AN18"/>
  <c r="AN10"/>
  <c r="AN11"/>
  <c r="AN13"/>
  <c r="AN14"/>
  <c r="AN15"/>
  <c r="K90" i="12"/>
  <c r="I13" i="4"/>
  <c r="I10"/>
  <c r="I10" i="14"/>
  <c r="M4" i="10"/>
  <c r="L90" i="12"/>
  <c r="W8"/>
  <c r="W90" s="1"/>
  <c r="T8"/>
  <c r="T90" s="1"/>
  <c r="AY8" i="14"/>
  <c r="BD8" s="1"/>
  <c r="M17" i="7" s="1"/>
  <c r="AZ8" i="14"/>
  <c r="BE8" s="1"/>
  <c r="Z7" i="4"/>
  <c r="F16" i="7" s="1"/>
  <c r="F10" i="4"/>
  <c r="AB37" i="12"/>
  <c r="AB33"/>
  <c r="B2" i="4"/>
  <c r="B84" i="12" l="1"/>
  <c r="B43"/>
  <c r="AZ37" i="14"/>
  <c r="BE37" s="1"/>
  <c r="AY37"/>
  <c r="BD37" s="1"/>
  <c r="M46" i="7" s="1"/>
  <c r="V8" i="12"/>
  <c r="V90" s="1"/>
  <c r="Y8"/>
  <c r="Y90" s="1"/>
  <c r="B2"/>
  <c r="AB29"/>
  <c r="AB35"/>
  <c r="AB31"/>
  <c r="AB30"/>
  <c r="AB34"/>
  <c r="AB38"/>
  <c r="AB28"/>
  <c r="AB32"/>
  <c r="AB36"/>
  <c r="Q2" i="6"/>
  <c r="O2" i="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Q16"/>
  <c r="K6"/>
  <c r="K7"/>
  <c r="K8"/>
  <c r="K10"/>
  <c r="K11"/>
  <c r="M56" i="6"/>
  <c r="J52"/>
  <c r="L43"/>
  <c r="L44"/>
  <c r="L45"/>
  <c r="L46"/>
  <c r="L47"/>
  <c r="I43"/>
  <c r="I44"/>
  <c r="I45"/>
  <c r="I46"/>
  <c r="I47"/>
  <c r="G43"/>
  <c r="G44"/>
  <c r="G45"/>
  <c r="G46"/>
  <c r="G47"/>
  <c r="D43"/>
  <c r="D44"/>
  <c r="D45"/>
  <c r="D46"/>
  <c r="D47"/>
  <c r="B42"/>
  <c r="K27"/>
  <c r="K28"/>
  <c r="K29"/>
  <c r="K26"/>
  <c r="D26"/>
  <c r="D27"/>
  <c r="E27"/>
  <c r="F27"/>
  <c r="G27"/>
  <c r="H27"/>
  <c r="D28"/>
  <c r="E28"/>
  <c r="F28"/>
  <c r="G28"/>
  <c r="H28"/>
  <c r="D29"/>
  <c r="E29"/>
  <c r="F29"/>
  <c r="G29"/>
  <c r="H29"/>
  <c r="H26"/>
  <c r="E26"/>
  <c r="F26"/>
  <c r="G26"/>
  <c r="E24"/>
  <c r="E4" i="4"/>
  <c r="E23" i="6" s="1"/>
  <c r="K23" s="1"/>
  <c r="C23"/>
  <c r="D20"/>
  <c r="K15"/>
  <c r="N15"/>
  <c r="G15"/>
  <c r="F21" i="3"/>
  <c r="B45" i="6" s="1"/>
  <c r="F22" i="3"/>
  <c r="B46" i="6" s="1"/>
  <c r="F23" i="3"/>
  <c r="B47" i="6" s="1"/>
  <c r="H58"/>
  <c r="F12" i="7"/>
  <c r="F11"/>
  <c r="F10"/>
  <c r="F9"/>
  <c r="F8"/>
  <c r="F7"/>
  <c r="F6"/>
  <c r="D3" s="1"/>
  <c r="L42" i="6"/>
  <c r="I42"/>
  <c r="G42"/>
  <c r="D42"/>
  <c r="D15"/>
  <c r="L8"/>
  <c r="D8"/>
  <c r="L7"/>
  <c r="D7"/>
  <c r="L6"/>
  <c r="L5"/>
  <c r="D5"/>
  <c r="L4"/>
  <c r="D4"/>
  <c r="G2"/>
  <c r="N37"/>
  <c r="N36"/>
  <c r="AM3" i="4"/>
  <c r="AC84" i="12" l="1"/>
  <c r="AC43"/>
  <c r="AC85"/>
  <c r="AC44"/>
  <c r="AZ9" i="14"/>
  <c r="BE9" s="1"/>
  <c r="AY9"/>
  <c r="BD9" s="1"/>
  <c r="M18" i="7" s="1"/>
  <c r="AY7" i="14"/>
  <c r="BD7" s="1"/>
  <c r="M16" i="7" s="1"/>
  <c r="AZ7" i="14"/>
  <c r="BE7" s="1"/>
  <c r="U47" i="7"/>
  <c r="J48" s="1"/>
  <c r="AC3" i="12"/>
  <c r="AC2"/>
  <c r="AB8"/>
  <c r="E2" i="6"/>
  <c r="F11" s="1"/>
  <c r="D33"/>
  <c r="E33"/>
  <c r="F30"/>
  <c r="G30"/>
  <c r="I32"/>
  <c r="F33"/>
  <c r="H33"/>
  <c r="K33"/>
  <c r="H30"/>
  <c r="G33"/>
  <c r="E37"/>
  <c r="I31"/>
  <c r="E30"/>
  <c r="I28"/>
  <c r="K30"/>
  <c r="I29"/>
  <c r="I26"/>
  <c r="I27"/>
  <c r="D30"/>
  <c r="J5" i="7"/>
  <c r="G50" i="6"/>
  <c r="I37"/>
  <c r="T6" i="3"/>
  <c r="M7" i="14" s="1"/>
  <c r="M8" l="1"/>
  <c r="N7"/>
  <c r="P7" s="1"/>
  <c r="Q7" s="1"/>
  <c r="R7" s="1"/>
  <c r="P44" i="12"/>
  <c r="P85"/>
  <c r="T7" i="3"/>
  <c r="W7" s="1"/>
  <c r="AB9" i="12"/>
  <c r="AB10"/>
  <c r="J37" i="6"/>
  <c r="I33"/>
  <c r="I30"/>
  <c r="L7" i="4"/>
  <c r="C49" i="12" l="1"/>
  <c r="B49" s="1"/>
  <c r="C90"/>
  <c r="B90" s="1"/>
  <c r="N8" i="14"/>
  <c r="P8" s="1"/>
  <c r="M9"/>
  <c r="AH7"/>
  <c r="BG7" s="1"/>
  <c r="BH7" s="1"/>
  <c r="L7"/>
  <c r="L8" s="1"/>
  <c r="Y8" s="1"/>
  <c r="AZ10"/>
  <c r="BE10" s="1"/>
  <c r="AY10"/>
  <c r="BD10" s="1"/>
  <c r="M19" i="7" s="1"/>
  <c r="K7" i="4"/>
  <c r="K8" s="1"/>
  <c r="V8" s="1"/>
  <c r="D16" i="7"/>
  <c r="C8" i="12"/>
  <c r="B8" s="1"/>
  <c r="AB11"/>
  <c r="L8" i="4"/>
  <c r="M7"/>
  <c r="F20" i="3"/>
  <c r="B44" i="6" s="1"/>
  <c r="F19" i="3"/>
  <c r="Q8" i="14" l="1"/>
  <c r="R8" s="1"/>
  <c r="AH8" s="1"/>
  <c r="BG8" s="1"/>
  <c r="BH8" s="1"/>
  <c r="U8"/>
  <c r="AA8"/>
  <c r="T8"/>
  <c r="Z8"/>
  <c r="AB8" s="1"/>
  <c r="L9"/>
  <c r="R50" i="12"/>
  <c r="N9" i="14"/>
  <c r="O9" s="1"/>
  <c r="P9" s="1"/>
  <c r="Q9" s="1"/>
  <c r="R9" s="1"/>
  <c r="M10"/>
  <c r="C50" i="12"/>
  <c r="B50" s="1"/>
  <c r="C91"/>
  <c r="U9" i="14"/>
  <c r="R8" i="4"/>
  <c r="Q9" i="12" s="1"/>
  <c r="U8" i="4"/>
  <c r="S8" i="14"/>
  <c r="AX7"/>
  <c r="BC7" s="1"/>
  <c r="K7"/>
  <c r="AW7"/>
  <c r="BB7" s="1"/>
  <c r="I16" i="7" s="1"/>
  <c r="Y9" i="14"/>
  <c r="V8"/>
  <c r="B91" i="12"/>
  <c r="W8" i="14"/>
  <c r="S8" i="4"/>
  <c r="R9" i="12" s="1"/>
  <c r="AZ11" i="14"/>
  <c r="BE11" s="1"/>
  <c r="AY11"/>
  <c r="BD11" s="1"/>
  <c r="M20" i="7" s="1"/>
  <c r="K9" i="4"/>
  <c r="V9" s="1"/>
  <c r="B43" i="6"/>
  <c r="B20"/>
  <c r="D17" i="7"/>
  <c r="C9" i="12"/>
  <c r="B9" s="1"/>
  <c r="AB12"/>
  <c r="B16" i="7"/>
  <c r="E16" s="1"/>
  <c r="O7" i="4"/>
  <c r="L9"/>
  <c r="M8"/>
  <c r="AW8" i="14" l="1"/>
  <c r="BB8" s="1"/>
  <c r="I17" i="7" s="1"/>
  <c r="K8" i="14"/>
  <c r="AX8"/>
  <c r="BC8" s="1"/>
  <c r="R91" i="12"/>
  <c r="T9" i="14"/>
  <c r="AA9"/>
  <c r="W9"/>
  <c r="Z9"/>
  <c r="L10"/>
  <c r="AA10" s="1"/>
  <c r="D90" i="12"/>
  <c r="D49"/>
  <c r="X8" i="14"/>
  <c r="S9"/>
  <c r="R51" i="12"/>
  <c r="C51"/>
  <c r="B51" s="1"/>
  <c r="C92"/>
  <c r="B92" s="1"/>
  <c r="W8" i="4"/>
  <c r="Q50" i="12"/>
  <c r="S50" s="1"/>
  <c r="AH9" i="14"/>
  <c r="BG9" s="1"/>
  <c r="BH9" s="1"/>
  <c r="S9" i="4"/>
  <c r="R10" i="12" s="1"/>
  <c r="R92" s="1"/>
  <c r="U9" i="4"/>
  <c r="R9"/>
  <c r="N10" i="14"/>
  <c r="O10" s="1"/>
  <c r="P10" s="1"/>
  <c r="Q10" s="1"/>
  <c r="R10" s="1"/>
  <c r="AH10" s="1"/>
  <c r="BG10" s="1"/>
  <c r="BH10" s="1"/>
  <c r="M11"/>
  <c r="Q91" i="12"/>
  <c r="T8" i="4"/>
  <c r="V9" i="14"/>
  <c r="V10" s="1"/>
  <c r="P7" i="4"/>
  <c r="Q7" s="1"/>
  <c r="AR7" s="1"/>
  <c r="AW7" s="1"/>
  <c r="G16" i="7" s="1"/>
  <c r="S9" i="12"/>
  <c r="S91" s="1"/>
  <c r="AZ12" i="14"/>
  <c r="BE12" s="1"/>
  <c r="AY12"/>
  <c r="BD12" s="1"/>
  <c r="M21" i="7" s="1"/>
  <c r="X8" i="4"/>
  <c r="K10"/>
  <c r="V10" s="1"/>
  <c r="Q10" i="12"/>
  <c r="N38" i="6"/>
  <c r="N39" s="1"/>
  <c r="F20"/>
  <c r="F57"/>
  <c r="D8" i="12"/>
  <c r="D18" i="7"/>
  <c r="C10" i="12"/>
  <c r="B10" s="1"/>
  <c r="C16" i="7"/>
  <c r="N8" i="4"/>
  <c r="L10"/>
  <c r="M9"/>
  <c r="L11" i="14" l="1"/>
  <c r="AA11" s="1"/>
  <c r="Z10"/>
  <c r="AB9"/>
  <c r="U10"/>
  <c r="W10"/>
  <c r="T10"/>
  <c r="Y10"/>
  <c r="AB10" s="1"/>
  <c r="R52" i="12"/>
  <c r="N11" i="14"/>
  <c r="O11" s="1"/>
  <c r="P11" s="1"/>
  <c r="Q11" s="1"/>
  <c r="R11" s="1"/>
  <c r="AH11" s="1"/>
  <c r="BG11" s="1"/>
  <c r="BH11" s="1"/>
  <c r="M12"/>
  <c r="W9" i="4"/>
  <c r="Q51" i="12"/>
  <c r="S51" s="1"/>
  <c r="K9" i="14"/>
  <c r="AX9"/>
  <c r="BC9" s="1"/>
  <c r="AW9"/>
  <c r="BB9" s="1"/>
  <c r="I18" i="7" s="1"/>
  <c r="S10" i="14"/>
  <c r="X9"/>
  <c r="AT7" i="4"/>
  <c r="AY7" s="1"/>
  <c r="M49" i="12" s="1"/>
  <c r="O49" s="1"/>
  <c r="E50" s="1"/>
  <c r="K50" s="1"/>
  <c r="AU7" i="4"/>
  <c r="AZ7" s="1"/>
  <c r="N49" i="12" s="1"/>
  <c r="P49" s="1"/>
  <c r="F50" s="1"/>
  <c r="L50" s="1"/>
  <c r="T9" i="4"/>
  <c r="R10"/>
  <c r="S10"/>
  <c r="R11" i="12" s="1"/>
  <c r="U10" i="4"/>
  <c r="C93" i="12"/>
  <c r="B93" s="1"/>
  <c r="C52"/>
  <c r="B52" s="1"/>
  <c r="S11" i="14"/>
  <c r="AS7" i="4"/>
  <c r="AX7" s="1"/>
  <c r="H16" i="7" s="1"/>
  <c r="Z8" i="4"/>
  <c r="F17" i="7" s="1"/>
  <c r="Q17" s="1"/>
  <c r="T9" i="12"/>
  <c r="T91" s="1"/>
  <c r="W9"/>
  <c r="W91" s="1"/>
  <c r="S10"/>
  <c r="AZ13" i="14"/>
  <c r="BE13" s="1"/>
  <c r="AY13"/>
  <c r="BD13" s="1"/>
  <c r="M22" i="7" s="1"/>
  <c r="K11" i="4"/>
  <c r="X9"/>
  <c r="Q11" i="12"/>
  <c r="D19" i="7"/>
  <c r="C11" i="12"/>
  <c r="B11" s="1"/>
  <c r="AB13"/>
  <c r="AB14"/>
  <c r="O8" i="4"/>
  <c r="B17" i="7"/>
  <c r="E17" s="1"/>
  <c r="N9" i="4"/>
  <c r="T16" i="7"/>
  <c r="L11" i="4"/>
  <c r="M10"/>
  <c r="N10" s="1"/>
  <c r="S92" i="12" l="1"/>
  <c r="L16" i="7"/>
  <c r="R93" i="12"/>
  <c r="Q92"/>
  <c r="W11" i="14"/>
  <c r="L12"/>
  <c r="V12" s="1"/>
  <c r="U11"/>
  <c r="V11"/>
  <c r="T11"/>
  <c r="Z11"/>
  <c r="Y11"/>
  <c r="X10"/>
  <c r="U12"/>
  <c r="X11"/>
  <c r="D50" i="12"/>
  <c r="D91"/>
  <c r="U11" i="4"/>
  <c r="S11"/>
  <c r="R11"/>
  <c r="Q12" i="12" s="1"/>
  <c r="N12" i="14"/>
  <c r="O12" s="1"/>
  <c r="P12" s="1"/>
  <c r="Q12" s="1"/>
  <c r="R12" s="1"/>
  <c r="M13"/>
  <c r="L13"/>
  <c r="V11" i="4"/>
  <c r="R53" i="12" s="1"/>
  <c r="K16" i="7"/>
  <c r="V16" s="1"/>
  <c r="T10" i="4"/>
  <c r="C53" i="12"/>
  <c r="B53" s="1"/>
  <c r="C94"/>
  <c r="B94" s="1"/>
  <c r="W10" i="4"/>
  <c r="Q52" i="12"/>
  <c r="Q93" s="1"/>
  <c r="K11" i="14"/>
  <c r="AW11"/>
  <c r="BB11" s="1"/>
  <c r="I20" i="7" s="1"/>
  <c r="AX11" i="14"/>
  <c r="BC11" s="1"/>
  <c r="AY15"/>
  <c r="BD15" s="1"/>
  <c r="M24" i="7" s="1"/>
  <c r="AY14" i="14"/>
  <c r="BD14" s="1"/>
  <c r="M23" i="7" s="1"/>
  <c r="AZ14" i="14"/>
  <c r="BE14" s="1"/>
  <c r="Y9" i="12"/>
  <c r="Y91" s="1"/>
  <c r="P8" i="4"/>
  <c r="Q8" s="1"/>
  <c r="AU8" s="1"/>
  <c r="AZ8" s="1"/>
  <c r="N50" i="12" s="1"/>
  <c r="P50" s="1"/>
  <c r="F51" s="1"/>
  <c r="L51" s="1"/>
  <c r="S11"/>
  <c r="Z9" i="4"/>
  <c r="F18" i="7" s="1"/>
  <c r="Q18" s="1"/>
  <c r="W10" i="12"/>
  <c r="W92" s="1"/>
  <c r="T10"/>
  <c r="T92" s="1"/>
  <c r="V9"/>
  <c r="V91" s="1"/>
  <c r="X10" i="4"/>
  <c r="K12"/>
  <c r="R16" i="7"/>
  <c r="M8" i="12"/>
  <c r="M90" s="1"/>
  <c r="D20" i="7"/>
  <c r="C12" i="12"/>
  <c r="B12" s="1"/>
  <c r="S16" i="7"/>
  <c r="N8" i="12"/>
  <c r="N90" s="1"/>
  <c r="W16" i="7"/>
  <c r="D9" i="12"/>
  <c r="X16" i="7"/>
  <c r="AB15" i="12"/>
  <c r="C17" i="7"/>
  <c r="B18"/>
  <c r="E18" s="1"/>
  <c r="O9" i="4"/>
  <c r="L12"/>
  <c r="M11"/>
  <c r="N11" s="1"/>
  <c r="AT8" l="1"/>
  <c r="AY8" s="1"/>
  <c r="M50" i="12" s="1"/>
  <c r="O50" s="1"/>
  <c r="E51" s="1"/>
  <c r="K51" s="1"/>
  <c r="Y12" i="14"/>
  <c r="Z12"/>
  <c r="AB11"/>
  <c r="S12"/>
  <c r="T12"/>
  <c r="T13" s="1"/>
  <c r="AA12"/>
  <c r="W12"/>
  <c r="X12" s="1"/>
  <c r="C54" i="12"/>
  <c r="B54" s="1"/>
  <c r="C95"/>
  <c r="B95" s="1"/>
  <c r="N13" i="14"/>
  <c r="O13" s="1"/>
  <c r="P13" s="1"/>
  <c r="Q13" s="1"/>
  <c r="R13" s="1"/>
  <c r="AH13" s="1"/>
  <c r="BG13" s="1"/>
  <c r="BH13" s="1"/>
  <c r="M14"/>
  <c r="S12" i="4"/>
  <c r="U12"/>
  <c r="V12"/>
  <c r="R12"/>
  <c r="Q13" i="12" s="1"/>
  <c r="S52"/>
  <c r="S93" s="1"/>
  <c r="S53"/>
  <c r="AR8" i="4"/>
  <c r="AW8" s="1"/>
  <c r="G17" i="7" s="1"/>
  <c r="AB12" i="14"/>
  <c r="U13"/>
  <c r="AH12"/>
  <c r="BG12" s="1"/>
  <c r="BH12" s="1"/>
  <c r="S13"/>
  <c r="Y13"/>
  <c r="L14"/>
  <c r="D51" i="12"/>
  <c r="D92"/>
  <c r="Q53"/>
  <c r="Q94" s="1"/>
  <c r="W11" i="4"/>
  <c r="T11"/>
  <c r="AS8"/>
  <c r="AX8" s="1"/>
  <c r="H17" i="7" s="1"/>
  <c r="Z13" i="14"/>
  <c r="V13"/>
  <c r="V14" s="1"/>
  <c r="AA13"/>
  <c r="AZ15"/>
  <c r="BE15" s="1"/>
  <c r="L17" i="7"/>
  <c r="K17"/>
  <c r="R13" i="12"/>
  <c r="R12"/>
  <c r="R94" s="1"/>
  <c r="Y10"/>
  <c r="Y92" s="1"/>
  <c r="T11"/>
  <c r="T93" s="1"/>
  <c r="W11"/>
  <c r="W93" s="1"/>
  <c r="V10"/>
  <c r="V92" s="1"/>
  <c r="P9" i="4"/>
  <c r="Q9" s="1"/>
  <c r="AT9" s="1"/>
  <c r="AY9" s="1"/>
  <c r="M51" i="12" s="1"/>
  <c r="O8"/>
  <c r="O90" s="1"/>
  <c r="P8"/>
  <c r="P90" s="1"/>
  <c r="S12"/>
  <c r="Z10" i="4"/>
  <c r="F19" i="7" s="1"/>
  <c r="Q19" s="1"/>
  <c r="X11" i="4"/>
  <c r="K13"/>
  <c r="D21" i="7"/>
  <c r="C13" i="12"/>
  <c r="B13" s="1"/>
  <c r="D10"/>
  <c r="AB16"/>
  <c r="B19" i="7"/>
  <c r="E19" s="1"/>
  <c r="O10" i="4"/>
  <c r="C18" i="7"/>
  <c r="L13" i="4"/>
  <c r="M12"/>
  <c r="O51" i="12" l="1"/>
  <c r="E52" s="1"/>
  <c r="K52" s="1"/>
  <c r="W13" i="14"/>
  <c r="W14"/>
  <c r="AA14"/>
  <c r="Z14"/>
  <c r="K13"/>
  <c r="AX13"/>
  <c r="BC13" s="1"/>
  <c r="AW13"/>
  <c r="BB13" s="1"/>
  <c r="I22" i="7" s="1"/>
  <c r="S13" i="4"/>
  <c r="R14" i="12" s="1"/>
  <c r="R13" i="4"/>
  <c r="U13"/>
  <c r="AB13" i="14"/>
  <c r="M15"/>
  <c r="N14"/>
  <c r="P14" s="1"/>
  <c r="Q14" s="1"/>
  <c r="R14" s="1"/>
  <c r="U14"/>
  <c r="T12" i="4"/>
  <c r="Q54" i="12"/>
  <c r="W12" i="4"/>
  <c r="D93" i="12"/>
  <c r="D52"/>
  <c r="V13" i="4"/>
  <c r="R54" i="12"/>
  <c r="R95" s="1"/>
  <c r="C55"/>
  <c r="B55" s="1"/>
  <c r="C96"/>
  <c r="S14" i="14"/>
  <c r="Y14"/>
  <c r="L15"/>
  <c r="K12"/>
  <c r="AX12"/>
  <c r="BC12" s="1"/>
  <c r="AW12"/>
  <c r="BB12" s="1"/>
  <c r="I21" i="7" s="1"/>
  <c r="V15" i="14"/>
  <c r="B96" i="12"/>
  <c r="W15" i="14"/>
  <c r="AA15"/>
  <c r="X13"/>
  <c r="S94" i="12"/>
  <c r="Z15" i="14"/>
  <c r="T14"/>
  <c r="AZ17"/>
  <c r="BE17" s="1"/>
  <c r="E9" i="12"/>
  <c r="K18" i="7"/>
  <c r="Y11" i="12"/>
  <c r="Y93" s="1"/>
  <c r="AZ16" i="14"/>
  <c r="BE16" s="1"/>
  <c r="AY16"/>
  <c r="BD16" s="1"/>
  <c r="M25" i="7" s="1"/>
  <c r="V11" i="12"/>
  <c r="V93" s="1"/>
  <c r="Z11" i="4"/>
  <c r="F20" i="7" s="1"/>
  <c r="Q20" s="1"/>
  <c r="W12" i="12"/>
  <c r="W94" s="1"/>
  <c r="T12"/>
  <c r="T94" s="1"/>
  <c r="S13"/>
  <c r="P10" i="4"/>
  <c r="Q10" s="1"/>
  <c r="AS10" s="1"/>
  <c r="AX10" s="1"/>
  <c r="H19" i="7" s="1"/>
  <c r="AS9" i="4"/>
  <c r="AX9" s="1"/>
  <c r="H18" i="7" s="1"/>
  <c r="AR9" i="4"/>
  <c r="AW9" s="1"/>
  <c r="G18" i="7" s="1"/>
  <c r="AU9" i="4"/>
  <c r="AZ9" s="1"/>
  <c r="N51" i="12" s="1"/>
  <c r="P51" s="1"/>
  <c r="F52" s="1"/>
  <c r="L52" s="1"/>
  <c r="K10" i="14"/>
  <c r="AX10"/>
  <c r="BC10" s="1"/>
  <c r="AW10"/>
  <c r="BB10" s="1"/>
  <c r="I19" i="7" s="1"/>
  <c r="K14" i="4"/>
  <c r="X12"/>
  <c r="Q14" i="12"/>
  <c r="D22" i="7"/>
  <c r="C14" i="12"/>
  <c r="B14" s="1"/>
  <c r="S17" i="7"/>
  <c r="N9" i="12"/>
  <c r="N91" s="1"/>
  <c r="D11"/>
  <c r="W17" i="7"/>
  <c r="V17"/>
  <c r="R17"/>
  <c r="M9" i="12"/>
  <c r="M91" s="1"/>
  <c r="X18" i="7"/>
  <c r="X17"/>
  <c r="T17"/>
  <c r="AB17" i="12"/>
  <c r="C19" i="7"/>
  <c r="O11" i="4"/>
  <c r="B20" i="7"/>
  <c r="E20" s="1"/>
  <c r="N12" i="4"/>
  <c r="L14"/>
  <c r="M13"/>
  <c r="D9" i="15" l="1"/>
  <c r="D10"/>
  <c r="F10"/>
  <c r="K10"/>
  <c r="K9"/>
  <c r="H10"/>
  <c r="H9"/>
  <c r="F9"/>
  <c r="AU10" i="4"/>
  <c r="AZ10" s="1"/>
  <c r="N52" i="12" s="1"/>
  <c r="AR10" i="4"/>
  <c r="AW10" s="1"/>
  <c r="G19" i="7" s="1"/>
  <c r="AB14" i="14"/>
  <c r="D10" i="10"/>
  <c r="O11"/>
  <c r="P10"/>
  <c r="F11"/>
  <c r="O10"/>
  <c r="K10"/>
  <c r="H11"/>
  <c r="N10"/>
  <c r="J11"/>
  <c r="I10"/>
  <c r="D11"/>
  <c r="F10"/>
  <c r="I11"/>
  <c r="L10"/>
  <c r="K11"/>
  <c r="P11"/>
  <c r="N11"/>
  <c r="H10"/>
  <c r="L11"/>
  <c r="J10"/>
  <c r="X14" i="14"/>
  <c r="S54" i="12"/>
  <c r="S95"/>
  <c r="T13" i="4"/>
  <c r="AH14" i="14"/>
  <c r="BG14" s="1"/>
  <c r="W13" i="4"/>
  <c r="Q55" i="12"/>
  <c r="Q96" s="1"/>
  <c r="R15"/>
  <c r="R14" i="4"/>
  <c r="S14"/>
  <c r="U14"/>
  <c r="V14"/>
  <c r="R55" i="12"/>
  <c r="Q95"/>
  <c r="C97"/>
  <c r="B97" s="1"/>
  <c r="C56"/>
  <c r="B56" s="1"/>
  <c r="D94"/>
  <c r="D53"/>
  <c r="T15" i="14"/>
  <c r="S15"/>
  <c r="Y15"/>
  <c r="AB15" s="1"/>
  <c r="L16"/>
  <c r="M16"/>
  <c r="N15"/>
  <c r="O15" s="1"/>
  <c r="P15" s="1"/>
  <c r="Q15" s="1"/>
  <c r="R15" s="1"/>
  <c r="AH15" s="1"/>
  <c r="BG15" s="1"/>
  <c r="P52" i="12"/>
  <c r="F53" s="1"/>
  <c r="L53" s="1"/>
  <c r="V16" i="14"/>
  <c r="U15"/>
  <c r="AY17"/>
  <c r="BD17" s="1"/>
  <c r="M26" i="7" s="1"/>
  <c r="K9" i="12"/>
  <c r="K91" s="1"/>
  <c r="E91"/>
  <c r="S14"/>
  <c r="Y12"/>
  <c r="Y94" s="1"/>
  <c r="L18" i="7"/>
  <c r="V12" i="12"/>
  <c r="V94" s="1"/>
  <c r="AT10" i="4"/>
  <c r="AY10" s="1"/>
  <c r="M52" i="12" s="1"/>
  <c r="O52" s="1"/>
  <c r="E53" s="1"/>
  <c r="K53" s="1"/>
  <c r="L19" i="7"/>
  <c r="P11" i="4"/>
  <c r="Q11" s="1"/>
  <c r="AS11" s="1"/>
  <c r="AX11" s="1"/>
  <c r="H20" i="7" s="1"/>
  <c r="Z12" i="4"/>
  <c r="F21" i="7" s="1"/>
  <c r="Q21" s="1"/>
  <c r="T13" i="12"/>
  <c r="T95" s="1"/>
  <c r="W13"/>
  <c r="W95" s="1"/>
  <c r="K15" i="4"/>
  <c r="X13"/>
  <c r="Q15" i="12"/>
  <c r="T18" i="7"/>
  <c r="D23"/>
  <c r="C15" i="12"/>
  <c r="B15" s="1"/>
  <c r="S18" i="7"/>
  <c r="N10" i="12"/>
  <c r="N92" s="1"/>
  <c r="D12"/>
  <c r="V18" i="7"/>
  <c r="W18"/>
  <c r="R18"/>
  <c r="M10" i="12"/>
  <c r="M92" s="1"/>
  <c r="AB18"/>
  <c r="O12" i="4"/>
  <c r="B21" i="7"/>
  <c r="E21" s="1"/>
  <c r="C20"/>
  <c r="N13" i="4"/>
  <c r="L15"/>
  <c r="M14"/>
  <c r="N10" i="15" l="1"/>
  <c r="N9"/>
  <c r="M10" i="10"/>
  <c r="Q10"/>
  <c r="Q11"/>
  <c r="X15" i="14"/>
  <c r="T14" i="4"/>
  <c r="K15" i="14"/>
  <c r="AW15"/>
  <c r="BB15" s="1"/>
  <c r="I24" i="7" s="1"/>
  <c r="AX15" i="14"/>
  <c r="BC15" s="1"/>
  <c r="W14" i="4"/>
  <c r="Q56" i="12"/>
  <c r="Q97" s="1"/>
  <c r="C57"/>
  <c r="B57" s="1"/>
  <c r="C98"/>
  <c r="B98" s="1"/>
  <c r="V15" i="4"/>
  <c r="R56" i="12"/>
  <c r="S56" s="1"/>
  <c r="AU11" i="4"/>
  <c r="AZ11" s="1"/>
  <c r="N53" i="12" s="1"/>
  <c r="P53" s="1"/>
  <c r="F54" s="1"/>
  <c r="L54" s="1"/>
  <c r="S16" i="14"/>
  <c r="Y16"/>
  <c r="L17"/>
  <c r="T16"/>
  <c r="Z16"/>
  <c r="S55" i="12"/>
  <c r="S96" s="1"/>
  <c r="D54"/>
  <c r="D95"/>
  <c r="U15" i="4"/>
  <c r="S15"/>
  <c r="R16" i="12" s="1"/>
  <c r="R15" i="4"/>
  <c r="N16" i="14"/>
  <c r="O16" s="1"/>
  <c r="P16" s="1"/>
  <c r="Q16" s="1"/>
  <c r="R16" s="1"/>
  <c r="AH16" s="1"/>
  <c r="BG16" s="1"/>
  <c r="M17"/>
  <c r="AR11" i="4"/>
  <c r="AW11" s="1"/>
  <c r="G20" i="7" s="1"/>
  <c r="AT11" i="4"/>
  <c r="AY11" s="1"/>
  <c r="M53" i="12" s="1"/>
  <c r="O53" s="1"/>
  <c r="E54" s="1"/>
  <c r="K54" s="1"/>
  <c r="U16" i="14"/>
  <c r="AA16"/>
  <c r="R96" i="12"/>
  <c r="W16" i="14"/>
  <c r="S15" i="12"/>
  <c r="Z13" i="4"/>
  <c r="F22" i="7" s="1"/>
  <c r="Q22" s="1"/>
  <c r="W14" i="12"/>
  <c r="W96" s="1"/>
  <c r="T14"/>
  <c r="T96" s="1"/>
  <c r="V13"/>
  <c r="V95" s="1"/>
  <c r="K19" i="7"/>
  <c r="V19" s="1"/>
  <c r="P12" i="4"/>
  <c r="Q12" s="1"/>
  <c r="AS12" s="1"/>
  <c r="AX12" s="1"/>
  <c r="H21" i="7" s="1"/>
  <c r="Y13" i="12"/>
  <c r="Y95" s="1"/>
  <c r="AZ18" i="14"/>
  <c r="BE18" s="1"/>
  <c r="AY18"/>
  <c r="BD18" s="1"/>
  <c r="M27" i="7" s="1"/>
  <c r="K16" i="4"/>
  <c r="X14"/>
  <c r="R19" i="7"/>
  <c r="M11" i="12"/>
  <c r="M93" s="1"/>
  <c r="D13"/>
  <c r="S19" i="7"/>
  <c r="N11" i="12"/>
  <c r="N93" s="1"/>
  <c r="W19" i="7"/>
  <c r="D24"/>
  <c r="C16" i="12"/>
  <c r="B16" s="1"/>
  <c r="T19" i="7"/>
  <c r="X19"/>
  <c r="AB19" i="12"/>
  <c r="C21" i="7"/>
  <c r="B23"/>
  <c r="E23" s="1"/>
  <c r="O14" i="4"/>
  <c r="B22" i="7"/>
  <c r="E22" s="1"/>
  <c r="O13" i="4"/>
  <c r="L16"/>
  <c r="M15"/>
  <c r="S10" i="10" l="1"/>
  <c r="V10"/>
  <c r="T10"/>
  <c r="W10"/>
  <c r="W11"/>
  <c r="T11"/>
  <c r="T15" i="4"/>
  <c r="T17" i="14"/>
  <c r="K20" i="7"/>
  <c r="L20"/>
  <c r="Q16" i="12"/>
  <c r="D97"/>
  <c r="D56"/>
  <c r="S16" i="4"/>
  <c r="R17" i="12" s="1"/>
  <c r="U16" i="4"/>
  <c r="R16"/>
  <c r="Y17" i="14"/>
  <c r="S17"/>
  <c r="L18"/>
  <c r="T18" s="1"/>
  <c r="K16"/>
  <c r="AW16"/>
  <c r="BB16" s="1"/>
  <c r="I25" i="7" s="1"/>
  <c r="AX16" i="14"/>
  <c r="BC16" s="1"/>
  <c r="Z17"/>
  <c r="Z18" s="1"/>
  <c r="R97" i="12"/>
  <c r="C58"/>
  <c r="B58" s="1"/>
  <c r="C99"/>
  <c r="B99" s="1"/>
  <c r="D55"/>
  <c r="D96"/>
  <c r="M18" i="14"/>
  <c r="N17"/>
  <c r="O17" s="1"/>
  <c r="P17" s="1"/>
  <c r="Q17" s="1"/>
  <c r="R17" s="1"/>
  <c r="AH17" s="1"/>
  <c r="BG17" s="1"/>
  <c r="Q57" i="12"/>
  <c r="Q98" s="1"/>
  <c r="W15" i="4"/>
  <c r="W17" i="14"/>
  <c r="W18" s="1"/>
  <c r="AR12" i="4"/>
  <c r="AW12" s="1"/>
  <c r="G21" i="7" s="1"/>
  <c r="U17" i="14"/>
  <c r="X16"/>
  <c r="V16" i="4"/>
  <c r="R57" i="12"/>
  <c r="S57" s="1"/>
  <c r="AT12" i="4"/>
  <c r="AY12" s="1"/>
  <c r="M54" i="12" s="1"/>
  <c r="O54" s="1"/>
  <c r="E55" s="1"/>
  <c r="K55" s="1"/>
  <c r="S97"/>
  <c r="AU12" i="4"/>
  <c r="AZ12" s="1"/>
  <c r="N54" i="12" s="1"/>
  <c r="P54" s="1"/>
  <c r="F55" s="1"/>
  <c r="L55" s="1"/>
  <c r="AA17" i="14"/>
  <c r="AA18" s="1"/>
  <c r="V17"/>
  <c r="AB16"/>
  <c r="AZ20"/>
  <c r="BE20" s="1"/>
  <c r="V14" i="12"/>
  <c r="V96" s="1"/>
  <c r="P13" i="4"/>
  <c r="Q13" s="1"/>
  <c r="AS13" s="1"/>
  <c r="AX13" s="1"/>
  <c r="H22" i="7" s="1"/>
  <c r="L21"/>
  <c r="S16" i="12"/>
  <c r="S98" s="1"/>
  <c r="P14" i="4"/>
  <c r="Q14" s="1"/>
  <c r="AT14" s="1"/>
  <c r="AY14" s="1"/>
  <c r="M56" i="12" s="1"/>
  <c r="T15"/>
  <c r="T97" s="1"/>
  <c r="W15"/>
  <c r="W97" s="1"/>
  <c r="AZ19" i="14"/>
  <c r="BE19" s="1"/>
  <c r="AY19"/>
  <c r="BD19" s="1"/>
  <c r="M28" i="7" s="1"/>
  <c r="Y14" i="12"/>
  <c r="Y96" s="1"/>
  <c r="Z14" i="4"/>
  <c r="F23" i="7" s="1"/>
  <c r="Q23" s="1"/>
  <c r="K17" i="4"/>
  <c r="X15"/>
  <c r="R20" i="7"/>
  <c r="M12" i="12"/>
  <c r="M94" s="1"/>
  <c r="D14"/>
  <c r="D25" i="7"/>
  <c r="C17" i="12"/>
  <c r="B17" s="1"/>
  <c r="W20" i="7"/>
  <c r="S20"/>
  <c r="N12" i="12"/>
  <c r="N94" s="1"/>
  <c r="D15"/>
  <c r="V20" i="7"/>
  <c r="T20"/>
  <c r="X20"/>
  <c r="AB20" i="12"/>
  <c r="C22" i="7"/>
  <c r="C23"/>
  <c r="N15" i="4"/>
  <c r="L17"/>
  <c r="M16"/>
  <c r="K21" i="7" l="1"/>
  <c r="AR14" i="4"/>
  <c r="AW14" s="1"/>
  <c r="G23" i="7" s="1"/>
  <c r="V18" i="14"/>
  <c r="U10" i="10"/>
  <c r="X10"/>
  <c r="T16" i="4"/>
  <c r="U18" i="14"/>
  <c r="C59" i="12"/>
  <c r="B59" s="1"/>
  <c r="C100"/>
  <c r="B100" s="1"/>
  <c r="V17" i="4"/>
  <c r="R58" i="12"/>
  <c r="R99" s="1"/>
  <c r="AU14" i="4"/>
  <c r="AZ14" s="1"/>
  <c r="N56" i="12" s="1"/>
  <c r="AB17" i="14"/>
  <c r="R98" i="12"/>
  <c r="Q17"/>
  <c r="AR13" i="4"/>
  <c r="AW13" s="1"/>
  <c r="G22" i="7" s="1"/>
  <c r="X17" i="14"/>
  <c r="U17" i="4"/>
  <c r="S17"/>
  <c r="R18" i="12" s="1"/>
  <c r="R17" i="4"/>
  <c r="T17" s="1"/>
  <c r="M19" i="14"/>
  <c r="N18"/>
  <c r="O18" s="1"/>
  <c r="P18" s="1"/>
  <c r="Q18" s="1"/>
  <c r="R18" s="1"/>
  <c r="AH18" s="1"/>
  <c r="BG18" s="1"/>
  <c r="Y18"/>
  <c r="AB18" s="1"/>
  <c r="S18"/>
  <c r="L19"/>
  <c r="W16" i="4"/>
  <c r="Q58" i="12"/>
  <c r="AY20" i="14"/>
  <c r="BD20" s="1"/>
  <c r="M29" i="7" s="1"/>
  <c r="K23"/>
  <c r="S17" i="12"/>
  <c r="V15"/>
  <c r="V97" s="1"/>
  <c r="AU13" i="4"/>
  <c r="AZ13" s="1"/>
  <c r="N55" i="12" s="1"/>
  <c r="P55" s="1"/>
  <c r="F56" s="1"/>
  <c r="L56" s="1"/>
  <c r="P56" s="1"/>
  <c r="F57" s="1"/>
  <c r="L57" s="1"/>
  <c r="AT13" i="4"/>
  <c r="AY13" s="1"/>
  <c r="M55" i="12" s="1"/>
  <c r="O55" s="1"/>
  <c r="E56" s="1"/>
  <c r="K56" s="1"/>
  <c r="O56" s="1"/>
  <c r="E57" s="1"/>
  <c r="K57" s="1"/>
  <c r="Z15" i="4"/>
  <c r="F24" i="7" s="1"/>
  <c r="Q24" s="1"/>
  <c r="W16" i="12"/>
  <c r="W98" s="1"/>
  <c r="T16"/>
  <c r="T98" s="1"/>
  <c r="Y15"/>
  <c r="Y97" s="1"/>
  <c r="K14" i="14"/>
  <c r="AW14"/>
  <c r="BB14" s="1"/>
  <c r="I23" i="7" s="1"/>
  <c r="AX14" i="14"/>
  <c r="BC14" s="1"/>
  <c r="AS14" i="4"/>
  <c r="AX14" s="1"/>
  <c r="H23" i="7" s="1"/>
  <c r="X16" i="4"/>
  <c r="K18"/>
  <c r="D26" i="7"/>
  <c r="C18" i="12"/>
  <c r="B18" s="1"/>
  <c r="W21" i="7"/>
  <c r="R21"/>
  <c r="M13" i="12"/>
  <c r="M95" s="1"/>
  <c r="V21" i="7"/>
  <c r="S21"/>
  <c r="N13" i="12"/>
  <c r="N95" s="1"/>
  <c r="X21" i="7"/>
  <c r="T21"/>
  <c r="AB21" i="12"/>
  <c r="B24" i="7"/>
  <c r="E24" s="1"/>
  <c r="O15" i="4"/>
  <c r="N16"/>
  <c r="L18"/>
  <c r="M17"/>
  <c r="S58" i="12" l="1"/>
  <c r="S99" s="1"/>
  <c r="X18" i="14"/>
  <c r="V19"/>
  <c r="U19"/>
  <c r="Q99" i="12"/>
  <c r="C101"/>
  <c r="C60"/>
  <c r="B60" s="1"/>
  <c r="D98"/>
  <c r="D57"/>
  <c r="V18" i="4"/>
  <c r="R59" i="12"/>
  <c r="S18" i="4"/>
  <c r="R19" i="12" s="1"/>
  <c r="U18" i="4"/>
  <c r="R18"/>
  <c r="S19" i="14"/>
  <c r="Y19"/>
  <c r="L20"/>
  <c r="N19"/>
  <c r="O19" s="1"/>
  <c r="P19" s="1"/>
  <c r="Q19" s="1"/>
  <c r="R19" s="1"/>
  <c r="AH19" s="1"/>
  <c r="BG19" s="1"/>
  <c r="M20"/>
  <c r="B101" i="12"/>
  <c r="Q18"/>
  <c r="V20" i="14"/>
  <c r="W19"/>
  <c r="W20" s="1"/>
  <c r="K18"/>
  <c r="AX18"/>
  <c r="BC18" s="1"/>
  <c r="AW18"/>
  <c r="BB18" s="1"/>
  <c r="I27" i="7" s="1"/>
  <c r="Q59" i="12"/>
  <c r="W17" i="4"/>
  <c r="U20" i="14"/>
  <c r="Z19"/>
  <c r="Z20" s="1"/>
  <c r="L23" i="7"/>
  <c r="T19" i="14"/>
  <c r="T20" s="1"/>
  <c r="AA19"/>
  <c r="AA20" s="1"/>
  <c r="P15" i="4"/>
  <c r="Q15" s="1"/>
  <c r="AU15" s="1"/>
  <c r="AZ15" s="1"/>
  <c r="N57" i="12" s="1"/>
  <c r="P57" s="1"/>
  <c r="F58" s="1"/>
  <c r="L58" s="1"/>
  <c r="S18"/>
  <c r="L22" i="7"/>
  <c r="W22" s="1"/>
  <c r="AY21" i="14"/>
  <c r="BD21" s="1"/>
  <c r="M30" i="7" s="1"/>
  <c r="AZ21" i="14"/>
  <c r="BE21" s="1"/>
  <c r="Y16" i="12"/>
  <c r="Y98" s="1"/>
  <c r="Z16" i="4"/>
  <c r="F25" i="7" s="1"/>
  <c r="Q25" s="1"/>
  <c r="T17" i="12"/>
  <c r="T99" s="1"/>
  <c r="W17"/>
  <c r="W99" s="1"/>
  <c r="V16"/>
  <c r="V98" s="1"/>
  <c r="K22" i="7"/>
  <c r="K19" i="4"/>
  <c r="X17"/>
  <c r="R23" i="7"/>
  <c r="M15" i="12"/>
  <c r="M97" s="1"/>
  <c r="V23" i="7"/>
  <c r="S23"/>
  <c r="N15" i="12"/>
  <c r="N97" s="1"/>
  <c r="R22" i="7"/>
  <c r="M14" i="12"/>
  <c r="M96" s="1"/>
  <c r="D27" i="7"/>
  <c r="C19" i="12"/>
  <c r="B19" s="1"/>
  <c r="D16"/>
  <c r="V22" i="7"/>
  <c r="W23"/>
  <c r="S22"/>
  <c r="N14" i="12"/>
  <c r="N96" s="1"/>
  <c r="X23" i="7"/>
  <c r="T23"/>
  <c r="X22"/>
  <c r="T22"/>
  <c r="AB22" i="12"/>
  <c r="C24" i="7"/>
  <c r="B25"/>
  <c r="E25" s="1"/>
  <c r="O16" i="4"/>
  <c r="N17"/>
  <c r="L19"/>
  <c r="M18"/>
  <c r="AT15" l="1"/>
  <c r="AY15" s="1"/>
  <c r="M57" i="12" s="1"/>
  <c r="O57" s="1"/>
  <c r="E58" s="1"/>
  <c r="K58" s="1"/>
  <c r="X19" i="14"/>
  <c r="AS15" i="4"/>
  <c r="AX15" s="1"/>
  <c r="H24" i="7" s="1"/>
  <c r="T18" i="4"/>
  <c r="S59" i="12"/>
  <c r="S100" s="1"/>
  <c r="K19" i="14"/>
  <c r="AX19"/>
  <c r="BC19" s="1"/>
  <c r="AW19"/>
  <c r="BB19" s="1"/>
  <c r="I28" i="7" s="1"/>
  <c r="M21" i="14"/>
  <c r="N20"/>
  <c r="O20" s="1"/>
  <c r="P20" s="1"/>
  <c r="Q20" s="1"/>
  <c r="R20" s="1"/>
  <c r="AH20" s="1"/>
  <c r="BG20" s="1"/>
  <c r="R100" i="12"/>
  <c r="C102"/>
  <c r="B102" s="1"/>
  <c r="C61"/>
  <c r="B61" s="1"/>
  <c r="S19" i="4"/>
  <c r="R20" i="12" s="1"/>
  <c r="U19" i="4"/>
  <c r="R19"/>
  <c r="AB19" i="14"/>
  <c r="D58" i="12"/>
  <c r="D99"/>
  <c r="Y20" i="14"/>
  <c r="AB20" s="1"/>
  <c r="S20"/>
  <c r="X20" s="1"/>
  <c r="L21"/>
  <c r="V21" s="1"/>
  <c r="W18" i="4"/>
  <c r="Q60" i="12"/>
  <c r="V19" i="4"/>
  <c r="R60" i="12"/>
  <c r="R101" s="1"/>
  <c r="Q19"/>
  <c r="T21" i="14"/>
  <c r="Q100" i="12"/>
  <c r="L24" i="7"/>
  <c r="W18" i="12"/>
  <c r="W100" s="1"/>
  <c r="T18"/>
  <c r="T100" s="1"/>
  <c r="K24" i="7"/>
  <c r="V17" i="12"/>
  <c r="V99" s="1"/>
  <c r="Y17"/>
  <c r="Y99" s="1"/>
  <c r="AR15" i="4"/>
  <c r="AW15" s="1"/>
  <c r="G24" i="7" s="1"/>
  <c r="P16" i="4"/>
  <c r="Q16" s="1"/>
  <c r="AU16" s="1"/>
  <c r="AZ16" s="1"/>
  <c r="N58" i="12" s="1"/>
  <c r="P58" s="1"/>
  <c r="F59" s="1"/>
  <c r="L59" s="1"/>
  <c r="AZ22" i="14"/>
  <c r="BE22" s="1"/>
  <c r="AY22"/>
  <c r="BD22" s="1"/>
  <c r="M31" i="7" s="1"/>
  <c r="Z17" i="4"/>
  <c r="F26" i="7" s="1"/>
  <c r="Q26" s="1"/>
  <c r="K20" i="4"/>
  <c r="X18"/>
  <c r="Q20" i="12"/>
  <c r="D17"/>
  <c r="D28" i="7"/>
  <c r="C20" i="12"/>
  <c r="B20" s="1"/>
  <c r="AB23"/>
  <c r="B26" i="7"/>
  <c r="E26" s="1"/>
  <c r="O17" i="4"/>
  <c r="C25" i="7"/>
  <c r="N18" i="4"/>
  <c r="L20"/>
  <c r="M19"/>
  <c r="U21" i="14" l="1"/>
  <c r="W21"/>
  <c r="AR16" i="4"/>
  <c r="AW16" s="1"/>
  <c r="G25" i="7" s="1"/>
  <c r="Q101" i="12"/>
  <c r="Q61"/>
  <c r="Q102" s="1"/>
  <c r="W19" i="4"/>
  <c r="M22" i="14"/>
  <c r="N21"/>
  <c r="O21" s="1"/>
  <c r="P21" s="1"/>
  <c r="Q21" s="1"/>
  <c r="R21" s="1"/>
  <c r="AH21" s="1"/>
  <c r="BG21" s="1"/>
  <c r="K20"/>
  <c r="AW20"/>
  <c r="BB20" s="1"/>
  <c r="I29" i="7" s="1"/>
  <c r="AX20" i="14"/>
  <c r="BC20" s="1"/>
  <c r="C103" i="12"/>
  <c r="B103" s="1"/>
  <c r="C62"/>
  <c r="B62" s="1"/>
  <c r="D59"/>
  <c r="D100"/>
  <c r="S20" i="4"/>
  <c r="U20"/>
  <c r="R20"/>
  <c r="T20" s="1"/>
  <c r="V20"/>
  <c r="R61" i="12"/>
  <c r="R102" s="1"/>
  <c r="S21" i="14"/>
  <c r="Y21"/>
  <c r="L22"/>
  <c r="AS16" i="4"/>
  <c r="AX16" s="1"/>
  <c r="H25" i="7" s="1"/>
  <c r="T19" i="4"/>
  <c r="AT16"/>
  <c r="AY16" s="1"/>
  <c r="M58" i="12" s="1"/>
  <c r="O58" s="1"/>
  <c r="E59" s="1"/>
  <c r="K59" s="1"/>
  <c r="S19"/>
  <c r="S60"/>
  <c r="AA21" i="14"/>
  <c r="AA22" s="1"/>
  <c r="Z21"/>
  <c r="Z22" s="1"/>
  <c r="L25" i="7"/>
  <c r="V18" i="12"/>
  <c r="V100" s="1"/>
  <c r="AZ23" i="14"/>
  <c r="BE23" s="1"/>
  <c r="AY23"/>
  <c r="BD23" s="1"/>
  <c r="M32" i="7" s="1"/>
  <c r="P17" i="4"/>
  <c r="Q17" s="1"/>
  <c r="AR17" s="1"/>
  <c r="AW17" s="1"/>
  <c r="G26" i="7" s="1"/>
  <c r="S20" i="12"/>
  <c r="Z18" i="4"/>
  <c r="F27" i="7" s="1"/>
  <c r="Q27" s="1"/>
  <c r="T19" i="12"/>
  <c r="T101" s="1"/>
  <c r="W19"/>
  <c r="W101" s="1"/>
  <c r="Y18"/>
  <c r="Y100" s="1"/>
  <c r="AW17" i="14"/>
  <c r="BB17" s="1"/>
  <c r="I26" i="7" s="1"/>
  <c r="AX17" i="14"/>
  <c r="BC17" s="1"/>
  <c r="K17"/>
  <c r="K21" i="4"/>
  <c r="X19"/>
  <c r="W24" i="7"/>
  <c r="D18" i="12"/>
  <c r="R24" i="7"/>
  <c r="M16" i="12"/>
  <c r="M98" s="1"/>
  <c r="X25" i="7"/>
  <c r="S24"/>
  <c r="N16" i="12"/>
  <c r="N98" s="1"/>
  <c r="D29" i="7"/>
  <c r="C21" i="12"/>
  <c r="B21" s="1"/>
  <c r="V24" i="7"/>
  <c r="T24"/>
  <c r="X24"/>
  <c r="AB24" i="12"/>
  <c r="C26" i="7"/>
  <c r="B27"/>
  <c r="E27" s="1"/>
  <c r="O18" i="4"/>
  <c r="N19"/>
  <c r="L21"/>
  <c r="M20"/>
  <c r="D12" i="15" l="1"/>
  <c r="K11"/>
  <c r="F11"/>
  <c r="H11"/>
  <c r="F12"/>
  <c r="D11"/>
  <c r="H12"/>
  <c r="N12" s="1"/>
  <c r="K12"/>
  <c r="U22" i="14"/>
  <c r="X21"/>
  <c r="L12" i="10"/>
  <c r="P12"/>
  <c r="H12"/>
  <c r="P13"/>
  <c r="H13"/>
  <c r="I13"/>
  <c r="O12"/>
  <c r="D12"/>
  <c r="J13"/>
  <c r="I12"/>
  <c r="K13"/>
  <c r="F12"/>
  <c r="L13"/>
  <c r="D13"/>
  <c r="K12"/>
  <c r="N13"/>
  <c r="J12"/>
  <c r="O13"/>
  <c r="F13"/>
  <c r="N12"/>
  <c r="V22" i="14"/>
  <c r="D101" i="12"/>
  <c r="D60"/>
  <c r="S22" i="14"/>
  <c r="Y22"/>
  <c r="AB22" s="1"/>
  <c r="L23"/>
  <c r="V21" i="4"/>
  <c r="R62" i="12"/>
  <c r="M23" i="14"/>
  <c r="N22"/>
  <c r="O22" s="1"/>
  <c r="P22" s="1"/>
  <c r="Q22" s="1"/>
  <c r="R22" s="1"/>
  <c r="AH22" s="1"/>
  <c r="BG22" s="1"/>
  <c r="AU17" i="4"/>
  <c r="AZ17" s="1"/>
  <c r="N59" i="12" s="1"/>
  <c r="P59" s="1"/>
  <c r="F60" s="1"/>
  <c r="L60" s="1"/>
  <c r="AB21" i="14"/>
  <c r="AT17" i="4"/>
  <c r="AY17" s="1"/>
  <c r="M59" i="12" s="1"/>
  <c r="O59" s="1"/>
  <c r="E60" s="1"/>
  <c r="K60" s="1"/>
  <c r="AA23" i="14"/>
  <c r="W22"/>
  <c r="S21" i="4"/>
  <c r="R22" i="12" s="1"/>
  <c r="U21" i="4"/>
  <c r="R21"/>
  <c r="Q22" i="12" s="1"/>
  <c r="C63"/>
  <c r="B63" s="1"/>
  <c r="C104"/>
  <c r="B104" s="1"/>
  <c r="Q62"/>
  <c r="W20" i="4"/>
  <c r="Z23" i="14"/>
  <c r="U23"/>
  <c r="Q21" i="12"/>
  <c r="AS17" i="4"/>
  <c r="AX17" s="1"/>
  <c r="H26" i="7" s="1"/>
  <c r="K25"/>
  <c r="V25" s="1"/>
  <c r="S101" i="12"/>
  <c r="T22" i="14"/>
  <c r="T23" s="1"/>
  <c r="S61" i="12"/>
  <c r="S102" s="1"/>
  <c r="AZ25" i="14"/>
  <c r="BE25" s="1"/>
  <c r="R21" i="12"/>
  <c r="L26" i="7"/>
  <c r="K26"/>
  <c r="Y19" i="12"/>
  <c r="Y101" s="1"/>
  <c r="Z19" i="4"/>
  <c r="F28" i="7" s="1"/>
  <c r="Q28" s="1"/>
  <c r="W20" i="12"/>
  <c r="W102" s="1"/>
  <c r="T20"/>
  <c r="T102" s="1"/>
  <c r="P18" i="4"/>
  <c r="Q18" s="1"/>
  <c r="AR18" s="1"/>
  <c r="AW18" s="1"/>
  <c r="G27" i="7" s="1"/>
  <c r="V19" i="12"/>
  <c r="V101" s="1"/>
  <c r="AZ24" i="14"/>
  <c r="BE24" s="1"/>
  <c r="AY24"/>
  <c r="BD24" s="1"/>
  <c r="M33" i="7" s="1"/>
  <c r="AU18" i="4"/>
  <c r="AZ18" s="1"/>
  <c r="N60" i="12" s="1"/>
  <c r="AT18" i="4"/>
  <c r="AY18" s="1"/>
  <c r="M60" i="12" s="1"/>
  <c r="X20" i="4"/>
  <c r="K22"/>
  <c r="T25" i="7"/>
  <c r="W25"/>
  <c r="D19" i="12"/>
  <c r="D30" i="7"/>
  <c r="C22" i="12"/>
  <c r="B22" s="1"/>
  <c r="S25" i="7"/>
  <c r="N17" i="12"/>
  <c r="N99" s="1"/>
  <c r="R25" i="7"/>
  <c r="M17" i="12"/>
  <c r="M99" s="1"/>
  <c r="AB25"/>
  <c r="B28" i="7"/>
  <c r="E28" s="1"/>
  <c r="O19" i="4"/>
  <c r="C27" i="7"/>
  <c r="N20" i="4"/>
  <c r="L22"/>
  <c r="M21"/>
  <c r="N11" i="15" l="1"/>
  <c r="V23" i="14"/>
  <c r="Q12" i="10"/>
  <c r="Q13"/>
  <c r="R103" i="12"/>
  <c r="S62"/>
  <c r="N23" i="14"/>
  <c r="O23" s="1"/>
  <c r="P23" s="1"/>
  <c r="Q23" s="1"/>
  <c r="R23" s="1"/>
  <c r="AH23" s="1"/>
  <c r="BG23" s="1"/>
  <c r="M24"/>
  <c r="K22"/>
  <c r="AW22"/>
  <c r="BB22" s="1"/>
  <c r="I31" i="7" s="1"/>
  <c r="AX22" i="14"/>
  <c r="BC22" s="1"/>
  <c r="S23"/>
  <c r="Y23"/>
  <c r="AB23" s="1"/>
  <c r="L24"/>
  <c r="V24" s="1"/>
  <c r="Z24"/>
  <c r="C105" i="12"/>
  <c r="B105" s="1"/>
  <c r="C64"/>
  <c r="B64" s="1"/>
  <c r="D102"/>
  <c r="D61"/>
  <c r="Q63"/>
  <c r="Q104" s="1"/>
  <c r="W21" i="4"/>
  <c r="V22"/>
  <c r="R63" i="12"/>
  <c r="R104" s="1"/>
  <c r="AS18" i="4"/>
  <c r="AX18" s="1"/>
  <c r="H27" i="7" s="1"/>
  <c r="U24" i="14"/>
  <c r="AA24"/>
  <c r="P60" i="12"/>
  <c r="F61" s="1"/>
  <c r="L61" s="1"/>
  <c r="S22" i="4"/>
  <c r="U22"/>
  <c r="R22"/>
  <c r="T22" s="1"/>
  <c r="T24" i="14"/>
  <c r="O60" i="12"/>
  <c r="E61" s="1"/>
  <c r="K61" s="1"/>
  <c r="Q103"/>
  <c r="T21" i="4"/>
  <c r="W23" i="14"/>
  <c r="W24" s="1"/>
  <c r="X22"/>
  <c r="AY25"/>
  <c r="BD25" s="1"/>
  <c r="M34" i="7" s="1"/>
  <c r="S22" i="12"/>
  <c r="L27" i="7"/>
  <c r="K27"/>
  <c r="Z20" i="4"/>
  <c r="F29" i="7" s="1"/>
  <c r="Q29" s="1"/>
  <c r="T21" i="12"/>
  <c r="T103" s="1"/>
  <c r="W21"/>
  <c r="W103" s="1"/>
  <c r="Y20"/>
  <c r="Y102" s="1"/>
  <c r="S21"/>
  <c r="S103" s="1"/>
  <c r="P19" i="4"/>
  <c r="Q19" s="1"/>
  <c r="AR19" s="1"/>
  <c r="AW19" s="1"/>
  <c r="G28" i="7" s="1"/>
  <c r="C23" i="12"/>
  <c r="B23" s="1"/>
  <c r="V20"/>
  <c r="V102" s="1"/>
  <c r="K23" i="4"/>
  <c r="X21"/>
  <c r="R23" i="12"/>
  <c r="T26" i="7"/>
  <c r="R26"/>
  <c r="M18" i="12"/>
  <c r="M100" s="1"/>
  <c r="D20"/>
  <c r="W26" i="7"/>
  <c r="S26"/>
  <c r="N18" i="12"/>
  <c r="N100" s="1"/>
  <c r="V26" i="7"/>
  <c r="X26"/>
  <c r="AB26" i="12"/>
  <c r="C28" i="7"/>
  <c r="B29"/>
  <c r="E29" s="1"/>
  <c r="O20" i="4"/>
  <c r="N21"/>
  <c r="D31" i="7"/>
  <c r="L23" i="4"/>
  <c r="M22"/>
  <c r="W12" i="10" l="1"/>
  <c r="T12"/>
  <c r="W13"/>
  <c r="T13"/>
  <c r="Q23" i="12"/>
  <c r="X23" i="14"/>
  <c r="W22" i="4"/>
  <c r="Q64" i="12"/>
  <c r="Q105" s="1"/>
  <c r="S23" i="4"/>
  <c r="U23"/>
  <c r="R23"/>
  <c r="T23" s="1"/>
  <c r="Y24" i="14"/>
  <c r="AB24" s="1"/>
  <c r="S24"/>
  <c r="X24" s="1"/>
  <c r="L25"/>
  <c r="U25" s="1"/>
  <c r="S63" i="12"/>
  <c r="S104" s="1"/>
  <c r="C106"/>
  <c r="B106" s="1"/>
  <c r="C65"/>
  <c r="B65" s="1"/>
  <c r="K23" i="14"/>
  <c r="AW23"/>
  <c r="BB23" s="1"/>
  <c r="I32" i="7" s="1"/>
  <c r="AX23" i="14"/>
  <c r="BC23" s="1"/>
  <c r="D103" i="12"/>
  <c r="D62"/>
  <c r="V23" i="4"/>
  <c r="R64" i="12"/>
  <c r="R105" s="1"/>
  <c r="M25" i="14"/>
  <c r="N24"/>
  <c r="O24" s="1"/>
  <c r="P24" s="1"/>
  <c r="Q24" s="1"/>
  <c r="R24" s="1"/>
  <c r="AH24" s="1"/>
  <c r="BG24" s="1"/>
  <c r="AU19" i="4"/>
  <c r="AZ19" s="1"/>
  <c r="N61" i="12" s="1"/>
  <c r="P61" s="1"/>
  <c r="F62" s="1"/>
  <c r="L62" s="1"/>
  <c r="AT19" i="4"/>
  <c r="AY19" s="1"/>
  <c r="M61" i="12" s="1"/>
  <c r="O61" s="1"/>
  <c r="E62" s="1"/>
  <c r="K62" s="1"/>
  <c r="S23"/>
  <c r="Y21"/>
  <c r="Y103" s="1"/>
  <c r="P20" i="4"/>
  <c r="Q20" s="1"/>
  <c r="AS20" s="1"/>
  <c r="AX20" s="1"/>
  <c r="H29" i="7" s="1"/>
  <c r="AS19" i="4"/>
  <c r="AX19" s="1"/>
  <c r="H28" i="7" s="1"/>
  <c r="W22" i="12"/>
  <c r="W104" s="1"/>
  <c r="T22"/>
  <c r="T104" s="1"/>
  <c r="AZ26" i="14"/>
  <c r="BE26" s="1"/>
  <c r="AY26"/>
  <c r="BD26" s="1"/>
  <c r="M35" i="7" s="1"/>
  <c r="V21" i="12"/>
  <c r="V103" s="1"/>
  <c r="Z21" i="4"/>
  <c r="F30" i="7" s="1"/>
  <c r="Q30" s="1"/>
  <c r="AT20" i="4"/>
  <c r="AY20" s="1"/>
  <c r="M62" i="12" s="1"/>
  <c r="K24" i="4"/>
  <c r="X22"/>
  <c r="R24" i="12"/>
  <c r="Q24"/>
  <c r="D32" i="7"/>
  <c r="C24" i="12"/>
  <c r="B24" s="1"/>
  <c r="S27" i="7"/>
  <c r="N19" i="12"/>
  <c r="N101" s="1"/>
  <c r="R27" i="7"/>
  <c r="M19" i="12"/>
  <c r="M101" s="1"/>
  <c r="V27" i="7"/>
  <c r="D21" i="12"/>
  <c r="W27" i="7"/>
  <c r="T27"/>
  <c r="X27"/>
  <c r="AB27" i="12"/>
  <c r="C29" i="7"/>
  <c r="B30"/>
  <c r="E30" s="1"/>
  <c r="O21" i="4"/>
  <c r="N22"/>
  <c r="L24"/>
  <c r="M23"/>
  <c r="L28" i="7" l="1"/>
  <c r="K28"/>
  <c r="O62" i="12"/>
  <c r="E63" s="1"/>
  <c r="K63" s="1"/>
  <c r="W25" i="14"/>
  <c r="T25"/>
  <c r="N25"/>
  <c r="O25" s="1"/>
  <c r="P25" s="1"/>
  <c r="Q25" s="1"/>
  <c r="R25" s="1"/>
  <c r="AH25" s="1"/>
  <c r="BG25" s="1"/>
  <c r="M26"/>
  <c r="Y25"/>
  <c r="S25"/>
  <c r="L26"/>
  <c r="U26" s="1"/>
  <c r="W23" i="4"/>
  <c r="Q65" i="12"/>
  <c r="Q106" s="1"/>
  <c r="V24" i="4"/>
  <c r="R65" i="12"/>
  <c r="S65" s="1"/>
  <c r="V25" i="14"/>
  <c r="Z25"/>
  <c r="S64" i="12"/>
  <c r="S105" s="1"/>
  <c r="D104"/>
  <c r="D63"/>
  <c r="S24" i="4"/>
  <c r="U24"/>
  <c r="R24"/>
  <c r="T24" s="1"/>
  <c r="C107" i="12"/>
  <c r="B107" s="1"/>
  <c r="C66"/>
  <c r="B66" s="1"/>
  <c r="AA25" i="14"/>
  <c r="AR20" i="4"/>
  <c r="AW20" s="1"/>
  <c r="G29" i="7" s="1"/>
  <c r="AU20" i="4"/>
  <c r="AZ20" s="1"/>
  <c r="N62" i="12" s="1"/>
  <c r="P62" s="1"/>
  <c r="F63" s="1"/>
  <c r="L63" s="1"/>
  <c r="K29" i="7"/>
  <c r="S24" i="12"/>
  <c r="Z22" i="4"/>
  <c r="F31" i="7" s="1"/>
  <c r="Q31" s="1"/>
  <c r="T23" i="12"/>
  <c r="T105" s="1"/>
  <c r="W23"/>
  <c r="W105" s="1"/>
  <c r="Y22"/>
  <c r="Y104" s="1"/>
  <c r="V22"/>
  <c r="V104" s="1"/>
  <c r="P21" i="4"/>
  <c r="Q21" s="1"/>
  <c r="AU21" s="1"/>
  <c r="AZ21" s="1"/>
  <c r="N63" i="12" s="1"/>
  <c r="AZ27" i="14"/>
  <c r="BE27" s="1"/>
  <c r="AY27"/>
  <c r="BD27" s="1"/>
  <c r="M36" i="7" s="1"/>
  <c r="AW21" i="14"/>
  <c r="BB21" s="1"/>
  <c r="I30" i="7" s="1"/>
  <c r="AX21" i="14"/>
  <c r="BC21" s="1"/>
  <c r="K21"/>
  <c r="K25" i="4"/>
  <c r="X23"/>
  <c r="W28" i="7"/>
  <c r="R28"/>
  <c r="M20" i="12"/>
  <c r="M102" s="1"/>
  <c r="D33" i="7"/>
  <c r="C25" i="12"/>
  <c r="B25" s="1"/>
  <c r="S28" i="7"/>
  <c r="N20" i="12"/>
  <c r="N102" s="1"/>
  <c r="D22"/>
  <c r="V28" i="7"/>
  <c r="X28"/>
  <c r="T28"/>
  <c r="B31"/>
  <c r="E31" s="1"/>
  <c r="O22" i="4"/>
  <c r="C30" i="7"/>
  <c r="N23" i="4"/>
  <c r="L25"/>
  <c r="M24"/>
  <c r="AR21" l="1"/>
  <c r="AW21" s="1"/>
  <c r="G30" i="7" s="1"/>
  <c r="Q25" i="12"/>
  <c r="Q107" s="1"/>
  <c r="P63"/>
  <c r="F64" s="1"/>
  <c r="L64" s="1"/>
  <c r="AT21" i="4"/>
  <c r="AY21" s="1"/>
  <c r="M63" i="12" s="1"/>
  <c r="O63" s="1"/>
  <c r="E64" s="1"/>
  <c r="K64" s="1"/>
  <c r="AS21" i="4"/>
  <c r="AX21" s="1"/>
  <c r="H30" i="7" s="1"/>
  <c r="R106" i="12"/>
  <c r="X25" i="14"/>
  <c r="C67" i="12"/>
  <c r="B67" s="1"/>
  <c r="C108"/>
  <c r="B108" s="1"/>
  <c r="S25" i="4"/>
  <c r="R26" i="12" s="1"/>
  <c r="U25" i="4"/>
  <c r="R25"/>
  <c r="W24"/>
  <c r="Q66" i="12"/>
  <c r="V25" i="4"/>
  <c r="R66" i="12"/>
  <c r="S106"/>
  <c r="AA26" i="14"/>
  <c r="Z26"/>
  <c r="AB25"/>
  <c r="L29" i="7"/>
  <c r="W29" s="1"/>
  <c r="T26" i="14"/>
  <c r="T27" s="1"/>
  <c r="S26"/>
  <c r="Y26"/>
  <c r="L27"/>
  <c r="U27" s="1"/>
  <c r="K25"/>
  <c r="AW25"/>
  <c r="BB25" s="1"/>
  <c r="I34" i="7" s="1"/>
  <c r="AX25" i="14"/>
  <c r="BC25" s="1"/>
  <c r="D64" i="12"/>
  <c r="D105"/>
  <c r="M27" i="14"/>
  <c r="N26"/>
  <c r="O26" s="1"/>
  <c r="P26" s="1"/>
  <c r="Q26" s="1"/>
  <c r="R26" s="1"/>
  <c r="AH26" s="1"/>
  <c r="BG26" s="1"/>
  <c r="W26"/>
  <c r="W27" s="1"/>
  <c r="V26"/>
  <c r="V27" s="1"/>
  <c r="L30" i="7"/>
  <c r="V23" i="12"/>
  <c r="V105" s="1"/>
  <c r="P22" i="4"/>
  <c r="Q22" s="1"/>
  <c r="AU22" s="1"/>
  <c r="AZ22" s="1"/>
  <c r="N64" i="12" s="1"/>
  <c r="P64" s="1"/>
  <c r="F65" s="1"/>
  <c r="L65" s="1"/>
  <c r="R25"/>
  <c r="AY28" i="14"/>
  <c r="BD28" s="1"/>
  <c r="M37" i="7" s="1"/>
  <c r="AZ28" i="14"/>
  <c r="BE28" s="1"/>
  <c r="Z23" i="4"/>
  <c r="F32" i="7" s="1"/>
  <c r="Q32" s="1"/>
  <c r="W24" i="12"/>
  <c r="W106" s="1"/>
  <c r="T24"/>
  <c r="T106" s="1"/>
  <c r="Y23"/>
  <c r="Y105" s="1"/>
  <c r="AY29" i="14"/>
  <c r="BD29" s="1"/>
  <c r="M38" i="7" s="1"/>
  <c r="AZ29" i="14"/>
  <c r="BE29" s="1"/>
  <c r="K26" i="4"/>
  <c r="X24"/>
  <c r="Q26" i="12"/>
  <c r="V29" i="7"/>
  <c r="D23" i="12"/>
  <c r="R29" i="7"/>
  <c r="M21" i="12"/>
  <c r="M103" s="1"/>
  <c r="D34" i="7"/>
  <c r="C26" i="12"/>
  <c r="B26" s="1"/>
  <c r="S29" i="7"/>
  <c r="N21" i="12"/>
  <c r="N103" s="1"/>
  <c r="X29" i="7"/>
  <c r="T29"/>
  <c r="C31"/>
  <c r="B32"/>
  <c r="E32" s="1"/>
  <c r="O23" i="4"/>
  <c r="N24"/>
  <c r="L26"/>
  <c r="M25"/>
  <c r="K30" i="7" l="1"/>
  <c r="AS22" i="4"/>
  <c r="AX22" s="1"/>
  <c r="H31" i="7" s="1"/>
  <c r="AR22" i="4"/>
  <c r="AW22" s="1"/>
  <c r="G31" i="7" s="1"/>
  <c r="AT22" i="4"/>
  <c r="AY22" s="1"/>
  <c r="M64" i="12" s="1"/>
  <c r="O64" s="1"/>
  <c r="E65" s="1"/>
  <c r="K65" s="1"/>
  <c r="Z27" i="14"/>
  <c r="T25" i="4"/>
  <c r="D106" i="12"/>
  <c r="D65"/>
  <c r="M28" i="14"/>
  <c r="N27"/>
  <c r="O27" s="1"/>
  <c r="P27" s="1"/>
  <c r="Q27" s="1"/>
  <c r="R27" s="1"/>
  <c r="AH27" s="1"/>
  <c r="BG27" s="1"/>
  <c r="R107" i="12"/>
  <c r="X26" i="14"/>
  <c r="C109" i="12"/>
  <c r="B109" s="1"/>
  <c r="C68"/>
  <c r="B68" s="1"/>
  <c r="K26" i="14"/>
  <c r="AX26"/>
  <c r="BC26" s="1"/>
  <c r="AW26"/>
  <c r="BB26" s="1"/>
  <c r="I35" i="7" s="1"/>
  <c r="AB26" i="14"/>
  <c r="S66" i="12"/>
  <c r="S26" i="4"/>
  <c r="R27" i="12" s="1"/>
  <c r="U26" i="4"/>
  <c r="R26"/>
  <c r="Q27" i="12" s="1"/>
  <c r="S27" i="14"/>
  <c r="X27" s="1"/>
  <c r="Y27"/>
  <c r="L28"/>
  <c r="U28" s="1"/>
  <c r="V26" i="4"/>
  <c r="R67" i="12"/>
  <c r="R108" s="1"/>
  <c r="Q67"/>
  <c r="Q108" s="1"/>
  <c r="W25" i="4"/>
  <c r="AA27" i="14"/>
  <c r="AY30"/>
  <c r="BD30" s="1"/>
  <c r="M39" i="7" s="1"/>
  <c r="T25" i="12"/>
  <c r="T107" s="1"/>
  <c r="W25"/>
  <c r="W107" s="1"/>
  <c r="V24"/>
  <c r="V106" s="1"/>
  <c r="AZ30" i="14"/>
  <c r="BE30" s="1"/>
  <c r="L31" i="7"/>
  <c r="S25" i="12"/>
  <c r="S107" s="1"/>
  <c r="P23" i="4"/>
  <c r="Q23" s="1"/>
  <c r="AS23" s="1"/>
  <c r="AX23" s="1"/>
  <c r="H32" i="7" s="1"/>
  <c r="S26" i="12"/>
  <c r="K31" i="7"/>
  <c r="Y24" i="12"/>
  <c r="Y106" s="1"/>
  <c r="Z24" i="4"/>
  <c r="F33" i="7" s="1"/>
  <c r="Q33" s="1"/>
  <c r="K27" i="4"/>
  <c r="X25"/>
  <c r="S30" i="7"/>
  <c r="N22" i="12"/>
  <c r="N104" s="1"/>
  <c r="R30" i="7"/>
  <c r="M22" i="12"/>
  <c r="M104" s="1"/>
  <c r="W30" i="7"/>
  <c r="D24" i="12"/>
  <c r="D35" i="7"/>
  <c r="C27" i="12"/>
  <c r="B27" s="1"/>
  <c r="V30" i="7"/>
  <c r="X30"/>
  <c r="T30"/>
  <c r="C32"/>
  <c r="B33"/>
  <c r="E33" s="1"/>
  <c r="O24" i="4"/>
  <c r="N25"/>
  <c r="L27"/>
  <c r="M26"/>
  <c r="T28" i="14" l="1"/>
  <c r="AB27"/>
  <c r="W26" i="4"/>
  <c r="Q68" i="12"/>
  <c r="Q109" s="1"/>
  <c r="D107"/>
  <c r="D66"/>
  <c r="V27" i="4"/>
  <c r="R68" i="12"/>
  <c r="S68" s="1"/>
  <c r="AT23" i="4"/>
  <c r="AY23" s="1"/>
  <c r="M65" i="12" s="1"/>
  <c r="O65" s="1"/>
  <c r="E66" s="1"/>
  <c r="K66" s="1"/>
  <c r="W28" i="14"/>
  <c r="W29" s="1"/>
  <c r="T26" i="4"/>
  <c r="C110" i="12"/>
  <c r="B110" s="1"/>
  <c r="C69"/>
  <c r="B69" s="1"/>
  <c r="S27" i="4"/>
  <c r="R28" i="12" s="1"/>
  <c r="U27" i="4"/>
  <c r="R27"/>
  <c r="Q28" i="12" s="1"/>
  <c r="S28" i="14"/>
  <c r="Y28"/>
  <c r="L29"/>
  <c r="U29" s="1"/>
  <c r="M29"/>
  <c r="N28"/>
  <c r="O28" s="1"/>
  <c r="P28" s="1"/>
  <c r="Q28" s="1"/>
  <c r="R28" s="1"/>
  <c r="AH28" s="1"/>
  <c r="BG28" s="1"/>
  <c r="AU23" i="4"/>
  <c r="AZ23" s="1"/>
  <c r="N65" i="12" s="1"/>
  <c r="P65" s="1"/>
  <c r="F66" s="1"/>
  <c r="L66" s="1"/>
  <c r="Z28" i="14"/>
  <c r="Z29" s="1"/>
  <c r="AR23" i="4"/>
  <c r="AW23" s="1"/>
  <c r="G32" i="7" s="1"/>
  <c r="AA28" i="14"/>
  <c r="AA29" s="1"/>
  <c r="S67" i="12"/>
  <c r="S108" s="1"/>
  <c r="V28" i="14"/>
  <c r="K27"/>
  <c r="D14" i="15" s="1"/>
  <c r="AW27" i="14"/>
  <c r="BB27" s="1"/>
  <c r="I36" i="7" s="1"/>
  <c r="AX27" i="14"/>
  <c r="BC27" s="1"/>
  <c r="K32" i="7"/>
  <c r="Z25" i="4"/>
  <c r="F34" i="7" s="1"/>
  <c r="Q34" s="1"/>
  <c r="W26" i="12"/>
  <c r="W108" s="1"/>
  <c r="T26"/>
  <c r="T108" s="1"/>
  <c r="V25"/>
  <c r="V107" s="1"/>
  <c r="S27"/>
  <c r="P24" i="4"/>
  <c r="Q24" s="1"/>
  <c r="AR24" s="1"/>
  <c r="AW24" s="1"/>
  <c r="G33" i="7" s="1"/>
  <c r="Y25" i="12"/>
  <c r="Y107" s="1"/>
  <c r="AW24" i="14"/>
  <c r="BB24" s="1"/>
  <c r="I33" i="7" s="1"/>
  <c r="AX24" i="14"/>
  <c r="BC24" s="1"/>
  <c r="K24"/>
  <c r="K28" i="4"/>
  <c r="X26"/>
  <c r="R31" i="7"/>
  <c r="M23" i="12"/>
  <c r="M105" s="1"/>
  <c r="D36" i="7"/>
  <c r="C28" i="12"/>
  <c r="B28" s="1"/>
  <c r="D25"/>
  <c r="S31" i="7"/>
  <c r="N23" i="12"/>
  <c r="N105" s="1"/>
  <c r="W31" i="7"/>
  <c r="V31"/>
  <c r="T31"/>
  <c r="X31"/>
  <c r="B34"/>
  <c r="E34" s="1"/>
  <c r="O25" i="4"/>
  <c r="C33" i="7"/>
  <c r="N26" i="4"/>
  <c r="L28"/>
  <c r="M27"/>
  <c r="H14" i="15" l="1"/>
  <c r="K13"/>
  <c r="H13"/>
  <c r="D13"/>
  <c r="F14"/>
  <c r="F13"/>
  <c r="K14"/>
  <c r="L32" i="7"/>
  <c r="K14" i="10"/>
  <c r="K15"/>
  <c r="O14"/>
  <c r="D14"/>
  <c r="L15"/>
  <c r="N14"/>
  <c r="N15"/>
  <c r="F15"/>
  <c r="O15"/>
  <c r="D15"/>
  <c r="P15"/>
  <c r="H14"/>
  <c r="H15"/>
  <c r="J14"/>
  <c r="P14"/>
  <c r="F14"/>
  <c r="I14"/>
  <c r="I15"/>
  <c r="L14"/>
  <c r="J15"/>
  <c r="D108" i="12"/>
  <c r="D67"/>
  <c r="S29" i="14"/>
  <c r="Y29"/>
  <c r="AB29" s="1"/>
  <c r="L30"/>
  <c r="Z30" s="1"/>
  <c r="Q69" i="12"/>
  <c r="W27" i="4"/>
  <c r="AT24"/>
  <c r="AY24" s="1"/>
  <c r="M66" i="12" s="1"/>
  <c r="O66" s="1"/>
  <c r="E67" s="1"/>
  <c r="K67" s="1"/>
  <c r="U30" i="14"/>
  <c r="Q110" i="12"/>
  <c r="C70"/>
  <c r="B70" s="1"/>
  <c r="C111"/>
  <c r="B111" s="1"/>
  <c r="S28" i="4"/>
  <c r="U28"/>
  <c r="R28"/>
  <c r="T28" s="1"/>
  <c r="M30" i="14"/>
  <c r="N29"/>
  <c r="O29" s="1"/>
  <c r="P29" s="1"/>
  <c r="Q29" s="1"/>
  <c r="R29" s="1"/>
  <c r="AH29" s="1"/>
  <c r="BG29" s="1"/>
  <c r="AB28"/>
  <c r="AU24" i="4"/>
  <c r="AZ24" s="1"/>
  <c r="N66" i="12" s="1"/>
  <c r="P66" s="1"/>
  <c r="F67" s="1"/>
  <c r="L67" s="1"/>
  <c r="S109"/>
  <c r="T29" i="14"/>
  <c r="V29"/>
  <c r="V30" s="1"/>
  <c r="T27" i="4"/>
  <c r="R109" i="12"/>
  <c r="V28" i="4"/>
  <c r="R69" i="12"/>
  <c r="R110" s="1"/>
  <c r="AS24" i="4"/>
  <c r="AX24" s="1"/>
  <c r="H33" i="7" s="1"/>
  <c r="S33" s="1"/>
  <c r="X28" i="14"/>
  <c r="P25" i="4"/>
  <c r="Q25" s="1"/>
  <c r="AU25" s="1"/>
  <c r="AZ25" s="1"/>
  <c r="N67" i="12" s="1"/>
  <c r="S28"/>
  <c r="Y26"/>
  <c r="Y108" s="1"/>
  <c r="Z26" i="4"/>
  <c r="F35" i="7" s="1"/>
  <c r="Q35" s="1"/>
  <c r="T27" i="12"/>
  <c r="T109" s="1"/>
  <c r="W27"/>
  <c r="W109" s="1"/>
  <c r="V26"/>
  <c r="V108" s="1"/>
  <c r="AY31" i="14"/>
  <c r="BD31" s="1"/>
  <c r="M40" i="7" s="1"/>
  <c r="AZ31" i="14"/>
  <c r="BE31" s="1"/>
  <c r="K29" i="4"/>
  <c r="X27"/>
  <c r="R29" i="12"/>
  <c r="D37" i="7"/>
  <c r="C29" i="12"/>
  <c r="B29" s="1"/>
  <c r="W32" i="7"/>
  <c r="S32"/>
  <c r="N24" i="12"/>
  <c r="N106" s="1"/>
  <c r="D26"/>
  <c r="V32" i="7"/>
  <c r="R32"/>
  <c r="M24" i="12"/>
  <c r="M106" s="1"/>
  <c r="X32" i="7"/>
  <c r="T32"/>
  <c r="C34"/>
  <c r="B35"/>
  <c r="E35" s="1"/>
  <c r="O26" i="4"/>
  <c r="N27"/>
  <c r="L29"/>
  <c r="M28"/>
  <c r="N14" i="15" l="1"/>
  <c r="N13"/>
  <c r="AS25" i="4"/>
  <c r="AX25" s="1"/>
  <c r="H34" i="7" s="1"/>
  <c r="Q14" i="10"/>
  <c r="Q15"/>
  <c r="P67" i="12"/>
  <c r="F68" s="1"/>
  <c r="L68" s="1"/>
  <c r="K33" i="7"/>
  <c r="Q29" i="12"/>
  <c r="T30" i="14"/>
  <c r="AA30"/>
  <c r="V29" i="4"/>
  <c r="R70" i="12"/>
  <c r="C71"/>
  <c r="B71" s="1"/>
  <c r="C112"/>
  <c r="B112" s="1"/>
  <c r="N30" i="14"/>
  <c r="O30" s="1"/>
  <c r="P30" s="1"/>
  <c r="Q30" s="1"/>
  <c r="R30" s="1"/>
  <c r="AH30" s="1"/>
  <c r="BG30" s="1"/>
  <c r="M31"/>
  <c r="X29"/>
  <c r="K29"/>
  <c r="AX29"/>
  <c r="BC29" s="1"/>
  <c r="AW29"/>
  <c r="BB29" s="1"/>
  <c r="I38" i="7" s="1"/>
  <c r="Y30" i="14"/>
  <c r="S30"/>
  <c r="L31"/>
  <c r="V31" s="1"/>
  <c r="S29" i="4"/>
  <c r="U29"/>
  <c r="R29"/>
  <c r="T29" s="1"/>
  <c r="D68" i="12"/>
  <c r="D109"/>
  <c r="Q70"/>
  <c r="S70" s="1"/>
  <c r="W28" i="4"/>
  <c r="R111" i="12"/>
  <c r="AT25" i="4"/>
  <c r="AY25" s="1"/>
  <c r="M67" i="12" s="1"/>
  <c r="O67" s="1"/>
  <c r="E68" s="1"/>
  <c r="K68" s="1"/>
  <c r="L33" i="7"/>
  <c r="W33" s="1"/>
  <c r="W30" i="14"/>
  <c r="S69" i="12"/>
  <c r="S110" s="1"/>
  <c r="AZ33" i="14"/>
  <c r="BE33" s="1"/>
  <c r="L34" i="7"/>
  <c r="Z27" i="4"/>
  <c r="F36" i="7" s="1"/>
  <c r="Q36" s="1"/>
  <c r="W28" i="12"/>
  <c r="W110" s="1"/>
  <c r="T28"/>
  <c r="T110" s="1"/>
  <c r="AY32" i="14"/>
  <c r="BD32" s="1"/>
  <c r="M41" i="7" s="1"/>
  <c r="AZ32" i="14"/>
  <c r="BE32" s="1"/>
  <c r="V27" i="12"/>
  <c r="V109" s="1"/>
  <c r="AR25" i="4"/>
  <c r="AW25" s="1"/>
  <c r="G34" i="7" s="1"/>
  <c r="C30" i="12"/>
  <c r="B30" s="1"/>
  <c r="S29"/>
  <c r="P26" i="4"/>
  <c r="Q26" s="1"/>
  <c r="AR26" s="1"/>
  <c r="AW26" s="1"/>
  <c r="G35" i="7" s="1"/>
  <c r="Y27" i="12"/>
  <c r="Y109" s="1"/>
  <c r="X28" i="4"/>
  <c r="R30" i="12"/>
  <c r="K30" i="4"/>
  <c r="Q30" i="12"/>
  <c r="N25"/>
  <c r="N107" s="1"/>
  <c r="D27"/>
  <c r="V33" i="7"/>
  <c r="R33"/>
  <c r="M25" i="12"/>
  <c r="M107" s="1"/>
  <c r="T33" i="7"/>
  <c r="X33"/>
  <c r="C35"/>
  <c r="B36"/>
  <c r="E36" s="1"/>
  <c r="O27" i="4"/>
  <c r="N28"/>
  <c r="D38" i="7"/>
  <c r="L30" i="4"/>
  <c r="M29"/>
  <c r="T14" i="10" l="1"/>
  <c r="W14"/>
  <c r="W15"/>
  <c r="T15"/>
  <c r="AT26" i="4"/>
  <c r="AY26" s="1"/>
  <c r="M68" i="12" s="1"/>
  <c r="O68" s="1"/>
  <c r="E69" s="1"/>
  <c r="K69" s="1"/>
  <c r="AU26" i="4"/>
  <c r="AZ26" s="1"/>
  <c r="N68" i="12" s="1"/>
  <c r="P68" s="1"/>
  <c r="F69" s="1"/>
  <c r="L69" s="1"/>
  <c r="T31" i="14"/>
  <c r="X30"/>
  <c r="S111" i="12"/>
  <c r="Z31" i="14"/>
  <c r="AB30"/>
  <c r="Q71" i="12"/>
  <c r="S71" s="1"/>
  <c r="W29" i="4"/>
  <c r="V30"/>
  <c r="R71" i="12"/>
  <c r="C113"/>
  <c r="B113" s="1"/>
  <c r="C72"/>
  <c r="B72" s="1"/>
  <c r="D110"/>
  <c r="D69"/>
  <c r="S30" i="4"/>
  <c r="U30"/>
  <c r="R30"/>
  <c r="W31" i="14"/>
  <c r="AA31"/>
  <c r="Y31"/>
  <c r="S31"/>
  <c r="L32"/>
  <c r="V32" s="1"/>
  <c r="R112" i="12"/>
  <c r="U31" i="14"/>
  <c r="K30"/>
  <c r="AW30"/>
  <c r="BB30" s="1"/>
  <c r="I39" i="7" s="1"/>
  <c r="AX30" i="14"/>
  <c r="BC30" s="1"/>
  <c r="K34" i="7"/>
  <c r="V34" s="1"/>
  <c r="Q111" i="12"/>
  <c r="N31" i="14"/>
  <c r="O31" s="1"/>
  <c r="P31" s="1"/>
  <c r="Q31" s="1"/>
  <c r="R31" s="1"/>
  <c r="AH31" s="1"/>
  <c r="BG31" s="1"/>
  <c r="M32"/>
  <c r="AS26" i="4"/>
  <c r="AX26" s="1"/>
  <c r="H35" i="7" s="1"/>
  <c r="AY33" i="14"/>
  <c r="BD33" s="1"/>
  <c r="M42" i="7" s="1"/>
  <c r="S30" i="12"/>
  <c r="K35" i="7"/>
  <c r="C31" i="12"/>
  <c r="B31" s="1"/>
  <c r="P27" i="4"/>
  <c r="Q27" s="1"/>
  <c r="AS27" s="1"/>
  <c r="AX27" s="1"/>
  <c r="H36" i="7" s="1"/>
  <c r="T29" i="12"/>
  <c r="T111" s="1"/>
  <c r="W29"/>
  <c r="W111" s="1"/>
  <c r="Y28"/>
  <c r="Y110" s="1"/>
  <c r="L35" i="7"/>
  <c r="V28" i="12"/>
  <c r="V110" s="1"/>
  <c r="Z28" i="4"/>
  <c r="F37" i="7" s="1"/>
  <c r="Q37" s="1"/>
  <c r="K31" i="4"/>
  <c r="X29"/>
  <c r="D28" i="12"/>
  <c r="S34" i="7"/>
  <c r="N26" i="12"/>
  <c r="N108" s="1"/>
  <c r="R34" i="7"/>
  <c r="M26" i="12"/>
  <c r="M108" s="1"/>
  <c r="W34" i="7"/>
  <c r="T34"/>
  <c r="X34"/>
  <c r="C36"/>
  <c r="B37"/>
  <c r="E37" s="1"/>
  <c r="O28" i="4"/>
  <c r="N29"/>
  <c r="D39" i="7"/>
  <c r="L31" i="4"/>
  <c r="M30"/>
  <c r="T30" l="1"/>
  <c r="T32" i="14"/>
  <c r="X31"/>
  <c r="D70" i="12"/>
  <c r="D111"/>
  <c r="S31" i="4"/>
  <c r="U31"/>
  <c r="R31"/>
  <c r="Q32" i="12" s="1"/>
  <c r="Y32" i="14"/>
  <c r="S32"/>
  <c r="L33"/>
  <c r="V33" s="1"/>
  <c r="AU27" i="4"/>
  <c r="AZ27" s="1"/>
  <c r="N69" i="12" s="1"/>
  <c r="P69" s="1"/>
  <c r="F70" s="1"/>
  <c r="L70" s="1"/>
  <c r="W32" i="14"/>
  <c r="C73" i="12"/>
  <c r="B73" s="1"/>
  <c r="C114"/>
  <c r="B114" s="1"/>
  <c r="V31" i="4"/>
  <c r="R72" i="12"/>
  <c r="U32" i="14"/>
  <c r="Q112" i="12"/>
  <c r="AA32" i="14"/>
  <c r="N32"/>
  <c r="O32" s="1"/>
  <c r="P32" s="1"/>
  <c r="Q32" s="1"/>
  <c r="R32" s="1"/>
  <c r="AH32" s="1"/>
  <c r="BG32" s="1"/>
  <c r="M33"/>
  <c r="W30" i="4"/>
  <c r="Q72" i="12"/>
  <c r="S112"/>
  <c r="Q31"/>
  <c r="AR27" i="4"/>
  <c r="AW27" s="1"/>
  <c r="G36" i="7" s="1"/>
  <c r="Z32" i="14"/>
  <c r="AB31"/>
  <c r="Z29" i="4"/>
  <c r="F38" i="7" s="1"/>
  <c r="Q38" s="1"/>
  <c r="W30" i="12"/>
  <c r="W112" s="1"/>
  <c r="T30"/>
  <c r="T112" s="1"/>
  <c r="AT27" i="4"/>
  <c r="AY27" s="1"/>
  <c r="M69" i="12" s="1"/>
  <c r="O69" s="1"/>
  <c r="E70" s="1"/>
  <c r="K70" s="1"/>
  <c r="V29"/>
  <c r="V111" s="1"/>
  <c r="P28" i="4"/>
  <c r="Q28" s="1"/>
  <c r="AU28" s="1"/>
  <c r="AZ28" s="1"/>
  <c r="N70" i="12" s="1"/>
  <c r="Y29"/>
  <c r="Y111" s="1"/>
  <c r="AZ34" i="14"/>
  <c r="BE34" s="1"/>
  <c r="AY34"/>
  <c r="BD34" s="1"/>
  <c r="M43" i="7" s="1"/>
  <c r="R32" i="12"/>
  <c r="R31"/>
  <c r="R113" s="1"/>
  <c r="AX28" i="14"/>
  <c r="BC28" s="1"/>
  <c r="AW28"/>
  <c r="BB28" s="1"/>
  <c r="I37" i="7" s="1"/>
  <c r="K28" i="14"/>
  <c r="X30" i="4"/>
  <c r="K32"/>
  <c r="W35" i="7"/>
  <c r="D29" i="12"/>
  <c r="V35" i="7"/>
  <c r="D40"/>
  <c r="C32" i="12"/>
  <c r="B32" s="1"/>
  <c r="R35" i="7"/>
  <c r="M27" i="12"/>
  <c r="M109" s="1"/>
  <c r="S35" i="7"/>
  <c r="N27" i="12"/>
  <c r="N109" s="1"/>
  <c r="X35" i="7"/>
  <c r="T35"/>
  <c r="B38"/>
  <c r="E38" s="1"/>
  <c r="O29" i="4"/>
  <c r="C37" i="7"/>
  <c r="N30" i="4"/>
  <c r="L32"/>
  <c r="M31"/>
  <c r="L36" i="7" l="1"/>
  <c r="Q113" i="12"/>
  <c r="AA33" i="14"/>
  <c r="W33"/>
  <c r="Z33"/>
  <c r="U33"/>
  <c r="M34"/>
  <c r="N33"/>
  <c r="O33" s="1"/>
  <c r="P33" s="1"/>
  <c r="Q33" s="1"/>
  <c r="R33" s="1"/>
  <c r="AH33" s="1"/>
  <c r="BG33" s="1"/>
  <c r="C74" i="12"/>
  <c r="B74" s="1"/>
  <c r="C115"/>
  <c r="B115" s="1"/>
  <c r="D71"/>
  <c r="D112"/>
  <c r="S32" i="4"/>
  <c r="R33" i="12" s="1"/>
  <c r="U32" i="4"/>
  <c r="R32"/>
  <c r="S33" i="14"/>
  <c r="Y33"/>
  <c r="L34"/>
  <c r="L35" s="1"/>
  <c r="Q73" i="12"/>
  <c r="Q114" s="1"/>
  <c r="W31" i="4"/>
  <c r="P70" i="12"/>
  <c r="F71" s="1"/>
  <c r="L71" s="1"/>
  <c r="X32" i="14"/>
  <c r="AT28" i="4"/>
  <c r="AY28" s="1"/>
  <c r="M70" i="12" s="1"/>
  <c r="O70" s="1"/>
  <c r="E71" s="1"/>
  <c r="K71" s="1"/>
  <c r="V32" i="4"/>
  <c r="R73" i="12"/>
  <c r="AS28" i="4"/>
  <c r="AX28" s="1"/>
  <c r="H37" i="7" s="1"/>
  <c r="T33" i="14"/>
  <c r="T31" i="4"/>
  <c r="K32" i="14"/>
  <c r="AW32"/>
  <c r="BB32" s="1"/>
  <c r="I41" i="7" s="1"/>
  <c r="AX32" i="14"/>
  <c r="BC32" s="1"/>
  <c r="AR28" i="4"/>
  <c r="AW28" s="1"/>
  <c r="G37" i="7" s="1"/>
  <c r="S72" i="12"/>
  <c r="AB32" i="14"/>
  <c r="L37" i="7"/>
  <c r="Y30" i="12"/>
  <c r="Y112" s="1"/>
  <c r="P29" i="4"/>
  <c r="Q29" s="1"/>
  <c r="AT29" s="1"/>
  <c r="AY29" s="1"/>
  <c r="M71" i="12" s="1"/>
  <c r="AZ36" i="14"/>
  <c r="BE36" s="1"/>
  <c r="AY36"/>
  <c r="BD36" s="1"/>
  <c r="M45" i="7" s="1"/>
  <c r="M15" i="6"/>
  <c r="V30" i="12"/>
  <c r="V112" s="1"/>
  <c r="S31"/>
  <c r="S113" s="1"/>
  <c r="AZ35" i="14"/>
  <c r="AY35"/>
  <c r="S32" i="12"/>
  <c r="Z30" i="4"/>
  <c r="F39" i="7" s="1"/>
  <c r="Q39" s="1"/>
  <c r="T31" i="12"/>
  <c r="T113" s="1"/>
  <c r="W31"/>
  <c r="W113" s="1"/>
  <c r="K36" i="7"/>
  <c r="V36" s="1"/>
  <c r="K33" i="4"/>
  <c r="X31"/>
  <c r="Q33" i="12"/>
  <c r="D41" i="7"/>
  <c r="C33" i="12"/>
  <c r="B33" s="1"/>
  <c r="W36" i="7"/>
  <c r="R36"/>
  <c r="M28" i="12"/>
  <c r="M110" s="1"/>
  <c r="S36" i="7"/>
  <c r="N28" i="12"/>
  <c r="N110" s="1"/>
  <c r="D30"/>
  <c r="T36" i="7"/>
  <c r="X36"/>
  <c r="B39"/>
  <c r="E39" s="1"/>
  <c r="O30" i="4"/>
  <c r="C38" i="7"/>
  <c r="N31" i="4"/>
  <c r="L33"/>
  <c r="M32"/>
  <c r="W34" i="14" l="1"/>
  <c r="W35" s="1"/>
  <c r="U34"/>
  <c r="U35" s="1"/>
  <c r="U36" s="1"/>
  <c r="L36"/>
  <c r="N34"/>
  <c r="O34" s="1"/>
  <c r="P34" s="1"/>
  <c r="Q34" s="1"/>
  <c r="R34" s="1"/>
  <c r="AH34" s="1"/>
  <c r="M35"/>
  <c r="W36"/>
  <c r="AR29" i="4"/>
  <c r="AW29" s="1"/>
  <c r="G38" i="7" s="1"/>
  <c r="V34" i="14"/>
  <c r="V35" s="1"/>
  <c r="AA34"/>
  <c r="AA35" s="1"/>
  <c r="AA36" s="1"/>
  <c r="K37" i="7"/>
  <c r="V37" s="1"/>
  <c r="T34" i="14"/>
  <c r="T35" s="1"/>
  <c r="T36" s="1"/>
  <c r="S73" i="12"/>
  <c r="Z34" i="14"/>
  <c r="Z35" s="1"/>
  <c r="AB33"/>
  <c r="D113" i="12"/>
  <c r="D72"/>
  <c r="S34" i="14"/>
  <c r="S35" s="1"/>
  <c r="Y34"/>
  <c r="Q74" i="12"/>
  <c r="W32" i="4"/>
  <c r="AU29"/>
  <c r="AZ29" s="1"/>
  <c r="N71" i="12" s="1"/>
  <c r="R114"/>
  <c r="C75"/>
  <c r="B75" s="1"/>
  <c r="C116"/>
  <c r="B116" s="1"/>
  <c r="Z36" i="14"/>
  <c r="O71" i="12"/>
  <c r="E72" s="1"/>
  <c r="K72" s="1"/>
  <c r="AS29" i="4"/>
  <c r="AX29" s="1"/>
  <c r="H38" i="7" s="1"/>
  <c r="S114" i="12"/>
  <c r="P71"/>
  <c r="F72" s="1"/>
  <c r="L72" s="1"/>
  <c r="T32" i="4"/>
  <c r="S33"/>
  <c r="R34" i="12" s="1"/>
  <c r="U33" i="4"/>
  <c r="R33"/>
  <c r="V33"/>
  <c r="R74" i="12"/>
  <c r="R115" s="1"/>
  <c r="K33" i="14"/>
  <c r="AW33"/>
  <c r="BB33" s="1"/>
  <c r="I42" i="7" s="1"/>
  <c r="AX33" i="14"/>
  <c r="BC33" s="1"/>
  <c r="X33"/>
  <c r="K38" i="7"/>
  <c r="L38"/>
  <c r="BE35" i="14"/>
  <c r="BE38" s="1"/>
  <c r="AZ38"/>
  <c r="AS9" s="1"/>
  <c r="C34" i="12"/>
  <c r="B34" s="1"/>
  <c r="V31"/>
  <c r="V113" s="1"/>
  <c r="BD35" i="14"/>
  <c r="AY38"/>
  <c r="AR9" s="1"/>
  <c r="P30" i="4"/>
  <c r="Q30" s="1"/>
  <c r="AU30" s="1"/>
  <c r="AZ30" s="1"/>
  <c r="N72" i="12" s="1"/>
  <c r="S33"/>
  <c r="W32"/>
  <c r="W114" s="1"/>
  <c r="T32"/>
  <c r="T114" s="1"/>
  <c r="Y31"/>
  <c r="Y113" s="1"/>
  <c r="Z31" i="4"/>
  <c r="F40" i="7" s="1"/>
  <c r="Q40" s="1"/>
  <c r="K34" i="4"/>
  <c r="X32"/>
  <c r="Q34" i="12"/>
  <c r="D31"/>
  <c r="R37" i="7"/>
  <c r="M29" i="12"/>
  <c r="M111" s="1"/>
  <c r="S37" i="7"/>
  <c r="N29" i="12"/>
  <c r="N111" s="1"/>
  <c r="W37" i="7"/>
  <c r="X37"/>
  <c r="T37"/>
  <c r="C39"/>
  <c r="B40"/>
  <c r="E40" s="1"/>
  <c r="O31" i="4"/>
  <c r="N32"/>
  <c r="D42" i="7"/>
  <c r="L34" i="4"/>
  <c r="M33"/>
  <c r="AT9" i="14" l="1"/>
  <c r="X35"/>
  <c r="AB34"/>
  <c r="BG34"/>
  <c r="K34" s="1"/>
  <c r="V36"/>
  <c r="N35"/>
  <c r="O35" s="1"/>
  <c r="P35" s="1"/>
  <c r="Q35" s="1"/>
  <c r="R35" s="1"/>
  <c r="AH35" s="1"/>
  <c r="BG35" s="1"/>
  <c r="M36"/>
  <c r="AX34"/>
  <c r="BC34" s="1"/>
  <c r="Y35"/>
  <c r="AB35" s="1"/>
  <c r="AW34"/>
  <c r="BB34" s="1"/>
  <c r="I43" i="7" s="1"/>
  <c r="AT30" i="4"/>
  <c r="AY30" s="1"/>
  <c r="M72" i="12" s="1"/>
  <c r="O72" s="1"/>
  <c r="E73" s="1"/>
  <c r="K73" s="1"/>
  <c r="L37" i="14"/>
  <c r="S36"/>
  <c r="X36" s="1"/>
  <c r="S34" i="4"/>
  <c r="R35" i="12" s="1"/>
  <c r="U34" i="4"/>
  <c r="R34"/>
  <c r="W33"/>
  <c r="Q75" i="12"/>
  <c r="Q116" s="1"/>
  <c r="D114"/>
  <c r="D73"/>
  <c r="X34" i="14"/>
  <c r="T33" i="4"/>
  <c r="P72" i="12"/>
  <c r="F73" s="1"/>
  <c r="L73" s="1"/>
  <c r="C117"/>
  <c r="B117" s="1"/>
  <c r="C76"/>
  <c r="B76" s="1"/>
  <c r="V34" i="4"/>
  <c r="R75" i="12"/>
  <c r="S74"/>
  <c r="S115" s="1"/>
  <c r="Q115"/>
  <c r="L39" i="7"/>
  <c r="Z32" i="4"/>
  <c r="F41" i="7" s="1"/>
  <c r="Q41" s="1"/>
  <c r="T33" i="12"/>
  <c r="T115" s="1"/>
  <c r="W33"/>
  <c r="W115" s="1"/>
  <c r="M44" i="7"/>
  <c r="BD38" i="14"/>
  <c r="L32" i="6" s="1"/>
  <c r="P31" i="4"/>
  <c r="Q31" s="1"/>
  <c r="AR31" s="1"/>
  <c r="AW31" s="1"/>
  <c r="G40" i="7" s="1"/>
  <c r="S34" i="12"/>
  <c r="Y32"/>
  <c r="Y114" s="1"/>
  <c r="AS30" i="4"/>
  <c r="AX30" s="1"/>
  <c r="H39" i="7" s="1"/>
  <c r="AR30" i="4"/>
  <c r="AW30" s="1"/>
  <c r="G39" i="7" s="1"/>
  <c r="C35" i="12"/>
  <c r="B35" s="1"/>
  <c r="V32"/>
  <c r="V114" s="1"/>
  <c r="K35" i="4"/>
  <c r="X33"/>
  <c r="Q35" i="12"/>
  <c r="V38" i="7"/>
  <c r="D32" i="12"/>
  <c r="S38" i="7"/>
  <c r="N30" i="12"/>
  <c r="N112" s="1"/>
  <c r="R38" i="7"/>
  <c r="M30" i="12"/>
  <c r="M112" s="1"/>
  <c r="W38" i="7"/>
  <c r="X38"/>
  <c r="T38"/>
  <c r="B41"/>
  <c r="E41" s="1"/>
  <c r="O32" i="4"/>
  <c r="C40" i="7"/>
  <c r="N33" i="4"/>
  <c r="D43" i="7"/>
  <c r="L35" i="4"/>
  <c r="M34"/>
  <c r="K39" i="7" l="1"/>
  <c r="N36" i="14"/>
  <c r="O36" s="1"/>
  <c r="P36" s="1"/>
  <c r="Q36" s="1"/>
  <c r="R36" s="1"/>
  <c r="AH36" s="1"/>
  <c r="BG36" s="1"/>
  <c r="M37"/>
  <c r="N37" s="1"/>
  <c r="O37" s="1"/>
  <c r="P37" s="1"/>
  <c r="Q37" s="1"/>
  <c r="R37" s="1"/>
  <c r="AH37" s="1"/>
  <c r="BG37" s="1"/>
  <c r="S37"/>
  <c r="S38" s="1"/>
  <c r="U37"/>
  <c r="U38" s="1"/>
  <c r="T37"/>
  <c r="W37"/>
  <c r="W38" s="1"/>
  <c r="Z37"/>
  <c r="Z38" s="1"/>
  <c r="AA37"/>
  <c r="V37"/>
  <c r="V38" s="1"/>
  <c r="S75" i="12"/>
  <c r="S116" s="1"/>
  <c r="T34" i="4"/>
  <c r="Y36" i="14"/>
  <c r="W34" i="4"/>
  <c r="Q76" i="12"/>
  <c r="Q117" s="1"/>
  <c r="D74"/>
  <c r="D115"/>
  <c r="C77"/>
  <c r="B77" s="1"/>
  <c r="C118"/>
  <c r="S35" i="4"/>
  <c r="R36" i="12" s="1"/>
  <c r="U35" i="4"/>
  <c r="R35"/>
  <c r="T35" s="1"/>
  <c r="B118" i="12"/>
  <c r="R116"/>
  <c r="V35" i="4"/>
  <c r="R76" i="12"/>
  <c r="Z33" i="4"/>
  <c r="F42" i="7" s="1"/>
  <c r="Q42" s="1"/>
  <c r="W34" i="12"/>
  <c r="W116" s="1"/>
  <c r="T34"/>
  <c r="T116" s="1"/>
  <c r="P32" i="4"/>
  <c r="Q32" s="1"/>
  <c r="AU32" s="1"/>
  <c r="AZ32" s="1"/>
  <c r="N74" i="12" s="1"/>
  <c r="V33"/>
  <c r="V115" s="1"/>
  <c r="AU31" i="4"/>
  <c r="AZ31" s="1"/>
  <c r="N73" i="12" s="1"/>
  <c r="P73" s="1"/>
  <c r="F74" s="1"/>
  <c r="L74" s="1"/>
  <c r="AS31" i="4"/>
  <c r="AX31" s="1"/>
  <c r="H40" i="7" s="1"/>
  <c r="S35" i="12"/>
  <c r="Y33"/>
  <c r="Y115" s="1"/>
  <c r="AT31" i="4"/>
  <c r="AY31" s="1"/>
  <c r="M73" i="12" s="1"/>
  <c r="O73" s="1"/>
  <c r="E74" s="1"/>
  <c r="K74" s="1"/>
  <c r="K31" i="14"/>
  <c r="AX31"/>
  <c r="AW31"/>
  <c r="K36" i="4"/>
  <c r="K37" s="1"/>
  <c r="X34"/>
  <c r="D33" i="12"/>
  <c r="D44" i="7"/>
  <c r="C36" i="12"/>
  <c r="B36" s="1"/>
  <c r="R39" i="7"/>
  <c r="M31" i="12"/>
  <c r="M113" s="1"/>
  <c r="W39" i="7"/>
  <c r="S39"/>
  <c r="N31" i="12"/>
  <c r="N113" s="1"/>
  <c r="V39" i="7"/>
  <c r="T39"/>
  <c r="X39"/>
  <c r="C41"/>
  <c r="B42"/>
  <c r="E42" s="1"/>
  <c r="O33" i="4"/>
  <c r="N34"/>
  <c r="L36"/>
  <c r="L37" s="1"/>
  <c r="M35"/>
  <c r="S76" i="12" l="1"/>
  <c r="AS32" i="4"/>
  <c r="AX32" s="1"/>
  <c r="H41" i="7" s="1"/>
  <c r="P74" i="12"/>
  <c r="F75" s="1"/>
  <c r="L75" s="1"/>
  <c r="J16" i="10"/>
  <c r="P16"/>
  <c r="D17"/>
  <c r="I16"/>
  <c r="I17"/>
  <c r="L16"/>
  <c r="J17"/>
  <c r="K16"/>
  <c r="K17"/>
  <c r="O16"/>
  <c r="D16"/>
  <c r="L17"/>
  <c r="N16"/>
  <c r="N17"/>
  <c r="F17"/>
  <c r="H17"/>
  <c r="O17"/>
  <c r="P17"/>
  <c r="F16"/>
  <c r="H16"/>
  <c r="C120" i="12"/>
  <c r="C79"/>
  <c r="C38"/>
  <c r="AB36" i="14"/>
  <c r="AX37"/>
  <c r="BC37" s="1"/>
  <c r="AW37"/>
  <c r="BB37" s="1"/>
  <c r="I46" i="7" s="1"/>
  <c r="K37" i="14"/>
  <c r="K36"/>
  <c r="AX36"/>
  <c r="BC36" s="1"/>
  <c r="AW36"/>
  <c r="BB36" s="1"/>
  <c r="I45" i="7" s="1"/>
  <c r="AA38" i="14"/>
  <c r="Y37"/>
  <c r="AB37" s="1"/>
  <c r="AG38"/>
  <c r="X37"/>
  <c r="X38" s="1"/>
  <c r="T38"/>
  <c r="AH38"/>
  <c r="S36" i="4"/>
  <c r="S37" s="1"/>
  <c r="R38" i="12" s="1"/>
  <c r="U36" i="4"/>
  <c r="U37" s="1"/>
  <c r="R36"/>
  <c r="R37" s="1"/>
  <c r="R117" i="12"/>
  <c r="C78"/>
  <c r="B78" s="1"/>
  <c r="C119"/>
  <c r="B119" s="1"/>
  <c r="D75"/>
  <c r="D116"/>
  <c r="V36" i="4"/>
  <c r="R78" i="12" s="1"/>
  <c r="R77"/>
  <c r="S77" s="1"/>
  <c r="Q77"/>
  <c r="W35" i="4"/>
  <c r="S117" i="12"/>
  <c r="Q36"/>
  <c r="Q118" s="1"/>
  <c r="L41" i="7"/>
  <c r="S36" i="12"/>
  <c r="S118" s="1"/>
  <c r="K40" i="7"/>
  <c r="L40"/>
  <c r="W40" s="1"/>
  <c r="Y34" i="12"/>
  <c r="Y116" s="1"/>
  <c r="AT32" i="4"/>
  <c r="AY32" s="1"/>
  <c r="M74" i="12" s="1"/>
  <c r="O74" s="1"/>
  <c r="E75" s="1"/>
  <c r="K75" s="1"/>
  <c r="AR32" i="4"/>
  <c r="AW32" s="1"/>
  <c r="G41" i="7" s="1"/>
  <c r="P33" i="4"/>
  <c r="Q33" s="1"/>
  <c r="AS33" s="1"/>
  <c r="AX33" s="1"/>
  <c r="H42" i="7" s="1"/>
  <c r="Z34" i="4"/>
  <c r="F43" i="7" s="1"/>
  <c r="Q43" s="1"/>
  <c r="T35" i="12"/>
  <c r="T117" s="1"/>
  <c r="W35"/>
  <c r="W117" s="1"/>
  <c r="V34"/>
  <c r="V116" s="1"/>
  <c r="BC31" i="14"/>
  <c r="BB31"/>
  <c r="X35" i="4"/>
  <c r="Q37" i="12"/>
  <c r="D34"/>
  <c r="V40" i="7"/>
  <c r="R40"/>
  <c r="M32" i="12"/>
  <c r="M114" s="1"/>
  <c r="D45" i="7"/>
  <c r="C37" i="12"/>
  <c r="B37" s="1"/>
  <c r="S40" i="7"/>
  <c r="N32" i="12"/>
  <c r="N114" s="1"/>
  <c r="X40" i="7"/>
  <c r="C42"/>
  <c r="B43"/>
  <c r="E43" s="1"/>
  <c r="O34" i="4"/>
  <c r="N35"/>
  <c r="D46" i="7"/>
  <c r="M36" i="4"/>
  <c r="D18" i="15" l="1"/>
  <c r="F17"/>
  <c r="F18"/>
  <c r="K17"/>
  <c r="H17"/>
  <c r="K18"/>
  <c r="H18"/>
  <c r="D17"/>
  <c r="R118" i="12"/>
  <c r="B120"/>
  <c r="Q16" i="10"/>
  <c r="Y38" i="14"/>
  <c r="Q17" i="10"/>
  <c r="T37" i="4"/>
  <c r="Q38" i="12"/>
  <c r="S38" i="4"/>
  <c r="B79" i="12"/>
  <c r="R37"/>
  <c r="S37" s="1"/>
  <c r="T36" i="4"/>
  <c r="V37"/>
  <c r="R79" i="12" s="1"/>
  <c r="R120" s="1"/>
  <c r="B38"/>
  <c r="Q79"/>
  <c r="X37" i="4"/>
  <c r="AB38" i="14"/>
  <c r="Q78" i="12"/>
  <c r="S78" s="1"/>
  <c r="W36" i="4"/>
  <c r="D117" i="12"/>
  <c r="D76"/>
  <c r="AR33" i="4"/>
  <c r="AW33" s="1"/>
  <c r="G42" i="7" s="1"/>
  <c r="P34" i="4"/>
  <c r="Q34" s="1"/>
  <c r="AT34" s="1"/>
  <c r="AY34" s="1"/>
  <c r="M76" i="12" s="1"/>
  <c r="K41" i="7"/>
  <c r="AU33" i="4"/>
  <c r="AZ33" s="1"/>
  <c r="N75" i="12" s="1"/>
  <c r="P75" s="1"/>
  <c r="F76" s="1"/>
  <c r="L76" s="1"/>
  <c r="Y35"/>
  <c r="Y117" s="1"/>
  <c r="W36"/>
  <c r="W118" s="1"/>
  <c r="T36"/>
  <c r="T118" s="1"/>
  <c r="V35"/>
  <c r="V117" s="1"/>
  <c r="AT33" i="4"/>
  <c r="AY33" s="1"/>
  <c r="M75" i="12" s="1"/>
  <c r="O75" s="1"/>
  <c r="E76" s="1"/>
  <c r="K76" s="1"/>
  <c r="I40" i="7"/>
  <c r="T40" s="1"/>
  <c r="Z35" i="4"/>
  <c r="F44" i="7" s="1"/>
  <c r="Q44" s="1"/>
  <c r="X36" i="4"/>
  <c r="U38"/>
  <c r="T38"/>
  <c r="R38"/>
  <c r="V41" i="7"/>
  <c r="S41"/>
  <c r="N33" i="12"/>
  <c r="N115" s="1"/>
  <c r="R41" i="7"/>
  <c r="M33" i="12"/>
  <c r="M115" s="1"/>
  <c r="W41" i="7"/>
  <c r="D35" i="12"/>
  <c r="X41" i="7"/>
  <c r="T41"/>
  <c r="B44"/>
  <c r="E44" s="1"/>
  <c r="O35" i="4"/>
  <c r="C43" i="7"/>
  <c r="N36" i="4"/>
  <c r="M37"/>
  <c r="N17" i="15" l="1"/>
  <c r="N18"/>
  <c r="W17" i="10"/>
  <c r="T17"/>
  <c r="W16"/>
  <c r="T16"/>
  <c r="R119" i="12"/>
  <c r="S119"/>
  <c r="W37" i="4"/>
  <c r="W38" s="1"/>
  <c r="V38"/>
  <c r="O76" i="12"/>
  <c r="E77" s="1"/>
  <c r="K77" s="1"/>
  <c r="Q119"/>
  <c r="Q120"/>
  <c r="S38"/>
  <c r="S79"/>
  <c r="W38"/>
  <c r="T38"/>
  <c r="Z37" i="4"/>
  <c r="F46" i="7" s="1"/>
  <c r="Q46" s="1"/>
  <c r="D118" i="12"/>
  <c r="D77"/>
  <c r="AS34" i="4"/>
  <c r="AX34" s="1"/>
  <c r="H43" i="7" s="1"/>
  <c r="K43"/>
  <c r="P35" i="4"/>
  <c r="Q35" s="1"/>
  <c r="AR35" s="1"/>
  <c r="AW35" s="1"/>
  <c r="G44" i="7" s="1"/>
  <c r="Y36" i="12"/>
  <c r="Y118" s="1"/>
  <c r="V36"/>
  <c r="V118" s="1"/>
  <c r="AR34" i="4"/>
  <c r="AW34" s="1"/>
  <c r="G43" i="7" s="1"/>
  <c r="AU34" i="4"/>
  <c r="AZ34" s="1"/>
  <c r="N76" i="12" s="1"/>
  <c r="P76" s="1"/>
  <c r="F77" s="1"/>
  <c r="L77" s="1"/>
  <c r="T37"/>
  <c r="T119" s="1"/>
  <c r="W37"/>
  <c r="W119" s="1"/>
  <c r="K42" i="7"/>
  <c r="V42" s="1"/>
  <c r="L42"/>
  <c r="W42" s="1"/>
  <c r="X38" i="4"/>
  <c r="Z36"/>
  <c r="D36" i="12"/>
  <c r="S42" i="7"/>
  <c r="N34" i="12"/>
  <c r="N116" s="1"/>
  <c r="R42" i="7"/>
  <c r="M34" i="12"/>
  <c r="M116" s="1"/>
  <c r="X42" i="7"/>
  <c r="T42"/>
  <c r="C44"/>
  <c r="B45"/>
  <c r="E45" s="1"/>
  <c r="O36" i="4"/>
  <c r="N37"/>
  <c r="E46" i="7"/>
  <c r="J47"/>
  <c r="W120" i="12" l="1"/>
  <c r="Y38"/>
  <c r="Y120" s="1"/>
  <c r="T120"/>
  <c r="V38"/>
  <c r="V120" s="1"/>
  <c r="S120"/>
  <c r="D78"/>
  <c r="D119"/>
  <c r="AS35" i="4"/>
  <c r="AX35" s="1"/>
  <c r="H44" i="7" s="1"/>
  <c r="AU35" i="4"/>
  <c r="AZ35" s="1"/>
  <c r="N77" i="12" s="1"/>
  <c r="P77" s="1"/>
  <c r="F78" s="1"/>
  <c r="L78" s="1"/>
  <c r="AT35" i="4"/>
  <c r="AY35" s="1"/>
  <c r="M77" i="12" s="1"/>
  <c r="O77" s="1"/>
  <c r="E78" s="1"/>
  <c r="K78" s="1"/>
  <c r="P36" i="4"/>
  <c r="Q36" s="1"/>
  <c r="AS36" s="1"/>
  <c r="AX36" s="1"/>
  <c r="H45" i="7" s="1"/>
  <c r="L43"/>
  <c r="V37" i="12"/>
  <c r="V119" s="1"/>
  <c r="Y37"/>
  <c r="Y119" s="1"/>
  <c r="K35" i="14"/>
  <c r="AX35"/>
  <c r="AW35"/>
  <c r="F15" i="6"/>
  <c r="Z38" i="4"/>
  <c r="B15" i="6" s="1"/>
  <c r="F45" i="7"/>
  <c r="R43"/>
  <c r="M35" i="12"/>
  <c r="M117" s="1"/>
  <c r="V43" i="7"/>
  <c r="S43"/>
  <c r="N35" i="12"/>
  <c r="N117" s="1"/>
  <c r="D37"/>
  <c r="W43" i="7"/>
  <c r="X43"/>
  <c r="T43"/>
  <c r="B46"/>
  <c r="O37" i="4"/>
  <c r="C45" i="7"/>
  <c r="K44" l="1"/>
  <c r="P19" i="10"/>
  <c r="N18"/>
  <c r="K18"/>
  <c r="I18"/>
  <c r="F19"/>
  <c r="N19"/>
  <c r="K19"/>
  <c r="I19"/>
  <c r="I20" s="1"/>
  <c r="F18"/>
  <c r="O18"/>
  <c r="L18"/>
  <c r="J18"/>
  <c r="H18"/>
  <c r="D18"/>
  <c r="P18"/>
  <c r="O19"/>
  <c r="L19"/>
  <c r="J19"/>
  <c r="H19"/>
  <c r="D19"/>
  <c r="K38" i="14"/>
  <c r="D79" i="12"/>
  <c r="D120"/>
  <c r="AR36" i="4"/>
  <c r="AW36" s="1"/>
  <c r="G45" i="7" s="1"/>
  <c r="AT36" i="4"/>
  <c r="AY36" s="1"/>
  <c r="M78" i="12" s="1"/>
  <c r="O78" s="1"/>
  <c r="E79" s="1"/>
  <c r="K79" s="1"/>
  <c r="AU36" i="4"/>
  <c r="AZ36" s="1"/>
  <c r="N78" i="12" s="1"/>
  <c r="P78" s="1"/>
  <c r="F79" s="1"/>
  <c r="L79" s="1"/>
  <c r="L44" i="7"/>
  <c r="W44" s="1"/>
  <c r="P37" i="4"/>
  <c r="Q37" s="1"/>
  <c r="AT37" s="1"/>
  <c r="AY37" s="1"/>
  <c r="M79" i="12" s="1"/>
  <c r="L45" i="7"/>
  <c r="Q45"/>
  <c r="Q47" s="1"/>
  <c r="F48" s="1"/>
  <c r="F47"/>
  <c r="BC35" i="14"/>
  <c r="BC38" s="1"/>
  <c r="AX38"/>
  <c r="AS7" s="1"/>
  <c r="BB35"/>
  <c r="AW38"/>
  <c r="AR7" s="1"/>
  <c r="D38" i="12"/>
  <c r="R44" i="7"/>
  <c r="M36" i="12"/>
  <c r="M118" s="1"/>
  <c r="S44" i="7"/>
  <c r="N36" i="12"/>
  <c r="N118" s="1"/>
  <c r="V44" i="7"/>
  <c r="X44"/>
  <c r="C46"/>
  <c r="N20" i="10" l="1"/>
  <c r="O20"/>
  <c r="K20"/>
  <c r="L20"/>
  <c r="J20"/>
  <c r="P20"/>
  <c r="Q18"/>
  <c r="Q19"/>
  <c r="H20"/>
  <c r="M14"/>
  <c r="M16"/>
  <c r="M13"/>
  <c r="O79" i="12"/>
  <c r="W80" s="1"/>
  <c r="M15" i="10"/>
  <c r="M12"/>
  <c r="M17"/>
  <c r="M18"/>
  <c r="M19"/>
  <c r="M11"/>
  <c r="K45" i="7"/>
  <c r="V45" s="1"/>
  <c r="K46"/>
  <c r="AR37" i="4"/>
  <c r="AW37" s="1"/>
  <c r="G46" i="7" s="1"/>
  <c r="AU37" i="4"/>
  <c r="AZ37" s="1"/>
  <c r="N79" i="12" s="1"/>
  <c r="P79" s="1"/>
  <c r="W81" s="1"/>
  <c r="AS37" i="4"/>
  <c r="AX37" s="1"/>
  <c r="H46" i="7" s="1"/>
  <c r="AT7" i="14"/>
  <c r="I44" i="7"/>
  <c r="T44" s="1"/>
  <c r="BB38" i="14"/>
  <c r="L31" i="6" s="1"/>
  <c r="R45" i="7"/>
  <c r="M37" i="12"/>
  <c r="M119" s="1"/>
  <c r="S45" i="7"/>
  <c r="N37" i="12"/>
  <c r="N119" s="1"/>
  <c r="W45" i="7"/>
  <c r="X45"/>
  <c r="T45"/>
  <c r="AT38" i="4"/>
  <c r="AM9" s="1"/>
  <c r="S18" i="10" l="1"/>
  <c r="V18"/>
  <c r="S19"/>
  <c r="V19"/>
  <c r="S15"/>
  <c r="U15" s="1"/>
  <c r="V15"/>
  <c r="X15" s="1"/>
  <c r="S14"/>
  <c r="V14"/>
  <c r="X14" s="1"/>
  <c r="V12"/>
  <c r="X12" s="1"/>
  <c r="S12"/>
  <c r="V16"/>
  <c r="S16"/>
  <c r="T18"/>
  <c r="W18"/>
  <c r="V17"/>
  <c r="S17"/>
  <c r="V13"/>
  <c r="X13" s="1"/>
  <c r="S13"/>
  <c r="W19"/>
  <c r="T19"/>
  <c r="V11"/>
  <c r="S11"/>
  <c r="M20"/>
  <c r="Q20"/>
  <c r="R19"/>
  <c r="R15"/>
  <c r="R14"/>
  <c r="U14"/>
  <c r="R11"/>
  <c r="R16"/>
  <c r="X16"/>
  <c r="U16"/>
  <c r="R12"/>
  <c r="U12"/>
  <c r="R17"/>
  <c r="X17"/>
  <c r="U17"/>
  <c r="R13"/>
  <c r="U13"/>
  <c r="R18"/>
  <c r="R10"/>
  <c r="AU38" i="4"/>
  <c r="AN9" s="1"/>
  <c r="AO9" s="1"/>
  <c r="AR38"/>
  <c r="AM7" s="1"/>
  <c r="AW38"/>
  <c r="L26" i="6" s="1"/>
  <c r="M26" s="1"/>
  <c r="N26" s="1"/>
  <c r="L46" i="7"/>
  <c r="AS38" i="4"/>
  <c r="AN7" s="1"/>
  <c r="N38" i="12"/>
  <c r="N120" s="1"/>
  <c r="M38"/>
  <c r="M120" s="1"/>
  <c r="O15" i="6"/>
  <c r="E15"/>
  <c r="L15"/>
  <c r="AY38" i="4"/>
  <c r="L28" i="6" s="1"/>
  <c r="X46" i="7"/>
  <c r="X47" s="1"/>
  <c r="M48" s="1"/>
  <c r="M32" i="6"/>
  <c r="N32" s="1"/>
  <c r="AZ38" i="4"/>
  <c r="L29" i="6" s="1"/>
  <c r="T46" i="7"/>
  <c r="T47" s="1"/>
  <c r="I48" s="1"/>
  <c r="M31" i="6"/>
  <c r="N31" s="1"/>
  <c r="AX38" i="4"/>
  <c r="V20" i="10" l="1"/>
  <c r="R20"/>
  <c r="W20"/>
  <c r="S20"/>
  <c r="T20"/>
  <c r="AD12"/>
  <c r="AD14"/>
  <c r="AD16"/>
  <c r="X18"/>
  <c r="X19"/>
  <c r="U11"/>
  <c r="X11"/>
  <c r="AJ10" s="1"/>
  <c r="U18"/>
  <c r="U19"/>
  <c r="AO7" i="4"/>
  <c r="H15" i="6" s="1"/>
  <c r="K20" s="1"/>
  <c r="N20" s="1"/>
  <c r="F9" i="12"/>
  <c r="F91" s="1"/>
  <c r="L27" i="6"/>
  <c r="M27" s="1"/>
  <c r="N27" s="1"/>
  <c r="L47" i="7"/>
  <c r="W46"/>
  <c r="W47" s="1"/>
  <c r="L48" s="1"/>
  <c r="K47"/>
  <c r="V46"/>
  <c r="V47" s="1"/>
  <c r="K48" s="1"/>
  <c r="G47"/>
  <c r="R46"/>
  <c r="R47" s="1"/>
  <c r="G48" s="1"/>
  <c r="H47"/>
  <c r="S46"/>
  <c r="S47" s="1"/>
  <c r="H48" s="1"/>
  <c r="M29" i="6"/>
  <c r="N29" s="1"/>
  <c r="M28"/>
  <c r="N28" s="1"/>
  <c r="I47" i="7"/>
  <c r="N33" i="6"/>
  <c r="L30"/>
  <c r="L33" s="1"/>
  <c r="M47" i="7"/>
  <c r="AJ20" i="10" l="1"/>
  <c r="AK10"/>
  <c r="AF12" s="1"/>
  <c r="AI12" s="1"/>
  <c r="AK12" s="1"/>
  <c r="AF14" s="1"/>
  <c r="AI14" s="1"/>
  <c r="AK14" s="1"/>
  <c r="AF16" s="1"/>
  <c r="AI16" s="1"/>
  <c r="AK16" s="1"/>
  <c r="AF18" s="1"/>
  <c r="AI18" s="1"/>
  <c r="AK18" s="1"/>
  <c r="AF20" s="1"/>
  <c r="AI20" s="1"/>
  <c r="AK20" s="1"/>
  <c r="X20"/>
  <c r="AD10"/>
  <c r="U20"/>
  <c r="AD18"/>
  <c r="L9" i="12"/>
  <c r="L91" s="1"/>
  <c r="N30" i="6"/>
  <c r="M30"/>
  <c r="M33" s="1"/>
  <c r="AD20" i="10" l="1"/>
  <c r="AE10"/>
  <c r="Z12" s="1"/>
  <c r="P9" i="12"/>
  <c r="P91" s="1"/>
  <c r="F10" l="1"/>
  <c r="F92" s="1"/>
  <c r="L10" l="1"/>
  <c r="L92" s="1"/>
  <c r="P10" l="1"/>
  <c r="P92" s="1"/>
  <c r="F11" l="1"/>
  <c r="L11" l="1"/>
  <c r="L93" s="1"/>
  <c r="F93"/>
  <c r="P11" l="1"/>
  <c r="P93" s="1"/>
  <c r="F12" l="1"/>
  <c r="F94" s="1"/>
  <c r="L12" l="1"/>
  <c r="L94" s="1"/>
  <c r="P12" l="1"/>
  <c r="P94" s="1"/>
  <c r="F13" l="1"/>
  <c r="F95" s="1"/>
  <c r="L13" l="1"/>
  <c r="L95" s="1"/>
  <c r="P13" l="1"/>
  <c r="P95" s="1"/>
  <c r="F14" l="1"/>
  <c r="F96" s="1"/>
  <c r="L14" l="1"/>
  <c r="L96" s="1"/>
  <c r="P14" l="1"/>
  <c r="P96" s="1"/>
  <c r="F15" l="1"/>
  <c r="F97" s="1"/>
  <c r="L15" l="1"/>
  <c r="L97" s="1"/>
  <c r="P15" l="1"/>
  <c r="P97" s="1"/>
  <c r="F16" l="1"/>
  <c r="F98" s="1"/>
  <c r="L16" l="1"/>
  <c r="L98" s="1"/>
  <c r="P16" l="1"/>
  <c r="P98" s="1"/>
  <c r="O9"/>
  <c r="O91" s="1"/>
  <c r="F17" l="1"/>
  <c r="F99" s="1"/>
  <c r="E10"/>
  <c r="E92" s="1"/>
  <c r="L17" l="1"/>
  <c r="L99" s="1"/>
  <c r="K10"/>
  <c r="K92" s="1"/>
  <c r="P17" l="1"/>
  <c r="P99" s="1"/>
  <c r="O10"/>
  <c r="O92" s="1"/>
  <c r="F18" l="1"/>
  <c r="F100" s="1"/>
  <c r="E11"/>
  <c r="E93" s="1"/>
  <c r="L18" l="1"/>
  <c r="L100" s="1"/>
  <c r="K11"/>
  <c r="K93" s="1"/>
  <c r="P18" l="1"/>
  <c r="P100" s="1"/>
  <c r="O11"/>
  <c r="O93" s="1"/>
  <c r="F19" l="1"/>
  <c r="F101" s="1"/>
  <c r="E12"/>
  <c r="E94" s="1"/>
  <c r="L19" l="1"/>
  <c r="L101" s="1"/>
  <c r="K12"/>
  <c r="K94" s="1"/>
  <c r="P19" l="1"/>
  <c r="P101" s="1"/>
  <c r="O12"/>
  <c r="O94" s="1"/>
  <c r="F20" l="1"/>
  <c r="F102" s="1"/>
  <c r="E13"/>
  <c r="E95" s="1"/>
  <c r="L20" l="1"/>
  <c r="L102" s="1"/>
  <c r="K13"/>
  <c r="K95" s="1"/>
  <c r="P20" l="1"/>
  <c r="P102" s="1"/>
  <c r="O13"/>
  <c r="O95" s="1"/>
  <c r="F21" l="1"/>
  <c r="F103" s="1"/>
  <c r="E14"/>
  <c r="E96" s="1"/>
  <c r="L21" l="1"/>
  <c r="L103" s="1"/>
  <c r="K14"/>
  <c r="K96" s="1"/>
  <c r="P21" l="1"/>
  <c r="P103" s="1"/>
  <c r="O14"/>
  <c r="O96" s="1"/>
  <c r="F22" l="1"/>
  <c r="F104" s="1"/>
  <c r="E15"/>
  <c r="E97" s="1"/>
  <c r="L22" l="1"/>
  <c r="L104" s="1"/>
  <c r="K15"/>
  <c r="K97" s="1"/>
  <c r="P22" l="1"/>
  <c r="P104" s="1"/>
  <c r="O15"/>
  <c r="O97" s="1"/>
  <c r="F23" l="1"/>
  <c r="F105" s="1"/>
  <c r="E16"/>
  <c r="E98" s="1"/>
  <c r="L23" l="1"/>
  <c r="L105" s="1"/>
  <c r="K16"/>
  <c r="K98" s="1"/>
  <c r="P23" l="1"/>
  <c r="P105" s="1"/>
  <c r="O16"/>
  <c r="O98" s="1"/>
  <c r="AN10" i="10"/>
  <c r="F24" i="12" l="1"/>
  <c r="F106" s="1"/>
  <c r="E17"/>
  <c r="E99" s="1"/>
  <c r="AN11" i="10"/>
  <c r="L24" i="12" l="1"/>
  <c r="L106" s="1"/>
  <c r="K17"/>
  <c r="K99" s="1"/>
  <c r="AN12" i="10"/>
  <c r="P24" i="12" l="1"/>
  <c r="P106" s="1"/>
  <c r="O17"/>
  <c r="O99" s="1"/>
  <c r="AN13" i="10"/>
  <c r="F25" i="12" l="1"/>
  <c r="F107" s="1"/>
  <c r="E18"/>
  <c r="E100" s="1"/>
  <c r="AN14" i="10"/>
  <c r="L25" i="12" l="1"/>
  <c r="L107" s="1"/>
  <c r="K18"/>
  <c r="K100" s="1"/>
  <c r="AN15" i="10"/>
  <c r="P25" i="12" l="1"/>
  <c r="P107" s="1"/>
  <c r="O18"/>
  <c r="O100" s="1"/>
  <c r="AN16" i="10"/>
  <c r="F26" i="12" l="1"/>
  <c r="F108" s="1"/>
  <c r="E19"/>
  <c r="E101" s="1"/>
  <c r="AN17" i="10"/>
  <c r="L26" i="12" l="1"/>
  <c r="L108" s="1"/>
  <c r="K19"/>
  <c r="K101" s="1"/>
  <c r="AN18" i="10"/>
  <c r="P26" i="12" l="1"/>
  <c r="P108" s="1"/>
  <c r="O19"/>
  <c r="O101" s="1"/>
  <c r="AN19" i="10"/>
  <c r="F27" i="12" l="1"/>
  <c r="F109" s="1"/>
  <c r="E20"/>
  <c r="E102" s="1"/>
  <c r="L27" l="1"/>
  <c r="L109" s="1"/>
  <c r="K20"/>
  <c r="K102" s="1"/>
  <c r="P27" l="1"/>
  <c r="P109" s="1"/>
  <c r="O20"/>
  <c r="O102" s="1"/>
  <c r="F28" l="1"/>
  <c r="F110" s="1"/>
  <c r="E21"/>
  <c r="E103" s="1"/>
  <c r="L28" l="1"/>
  <c r="L110" s="1"/>
  <c r="K21"/>
  <c r="K103" s="1"/>
  <c r="P28" l="1"/>
  <c r="P110" s="1"/>
  <c r="O21"/>
  <c r="O103" s="1"/>
  <c r="F29" l="1"/>
  <c r="F111" s="1"/>
  <c r="E22"/>
  <c r="E104" s="1"/>
  <c r="L29" l="1"/>
  <c r="L111" s="1"/>
  <c r="K22"/>
  <c r="K104" s="1"/>
  <c r="P29" l="1"/>
  <c r="P111" s="1"/>
  <c r="O22"/>
  <c r="O104" s="1"/>
  <c r="F30" l="1"/>
  <c r="F112" s="1"/>
  <c r="E23"/>
  <c r="E105" s="1"/>
  <c r="AN20" i="10"/>
  <c r="L30" i="12" l="1"/>
  <c r="L112" s="1"/>
  <c r="K23"/>
  <c r="K105" s="1"/>
  <c r="P30" l="1"/>
  <c r="P112" s="1"/>
  <c r="O23"/>
  <c r="O105" s="1"/>
  <c r="F31" l="1"/>
  <c r="F113" s="1"/>
  <c r="E24"/>
  <c r="E106" s="1"/>
  <c r="L31" l="1"/>
  <c r="L113" s="1"/>
  <c r="K24"/>
  <c r="K106" s="1"/>
  <c r="P31" l="1"/>
  <c r="P113" s="1"/>
  <c r="O24"/>
  <c r="O106" s="1"/>
  <c r="F32" l="1"/>
  <c r="F114" s="1"/>
  <c r="E25"/>
  <c r="E107" s="1"/>
  <c r="L32" l="1"/>
  <c r="L114" s="1"/>
  <c r="K25"/>
  <c r="K107" s="1"/>
  <c r="P32" l="1"/>
  <c r="P114" s="1"/>
  <c r="O25"/>
  <c r="O107" s="1"/>
  <c r="F33" l="1"/>
  <c r="F115" s="1"/>
  <c r="E26"/>
  <c r="E108" s="1"/>
  <c r="L33" l="1"/>
  <c r="L115" s="1"/>
  <c r="K26"/>
  <c r="K108" s="1"/>
  <c r="P33" l="1"/>
  <c r="P115" s="1"/>
  <c r="O26"/>
  <c r="O108" s="1"/>
  <c r="F34" l="1"/>
  <c r="F116" s="1"/>
  <c r="E27"/>
  <c r="E109" s="1"/>
  <c r="L34" l="1"/>
  <c r="L116" s="1"/>
  <c r="K27"/>
  <c r="K109" s="1"/>
  <c r="P34" l="1"/>
  <c r="P116" s="1"/>
  <c r="O27"/>
  <c r="O109" s="1"/>
  <c r="F35" l="1"/>
  <c r="F117" s="1"/>
  <c r="E28"/>
  <c r="E110" s="1"/>
  <c r="L35" l="1"/>
  <c r="L117" s="1"/>
  <c r="K28"/>
  <c r="K110" s="1"/>
  <c r="P35" l="1"/>
  <c r="P117" s="1"/>
  <c r="O28"/>
  <c r="O110" s="1"/>
  <c r="F36" l="1"/>
  <c r="F118" s="1"/>
  <c r="E29"/>
  <c r="E111" s="1"/>
  <c r="L36" l="1"/>
  <c r="L118" s="1"/>
  <c r="K29"/>
  <c r="K111" s="1"/>
  <c r="P36" l="1"/>
  <c r="P118" s="1"/>
  <c r="O29"/>
  <c r="O111" s="1"/>
  <c r="F37" l="1"/>
  <c r="F119" s="1"/>
  <c r="E30"/>
  <c r="E112" s="1"/>
  <c r="L37" l="1"/>
  <c r="L119" s="1"/>
  <c r="K30"/>
  <c r="K112" s="1"/>
  <c r="P37" l="1"/>
  <c r="P119" s="1"/>
  <c r="O30"/>
  <c r="O112" s="1"/>
  <c r="F38" l="1"/>
  <c r="F120" s="1"/>
  <c r="E31"/>
  <c r="E113" s="1"/>
  <c r="L38" l="1"/>
  <c r="L120" s="1"/>
  <c r="K31"/>
  <c r="K113" s="1"/>
  <c r="P38" l="1"/>
  <c r="P120" s="1"/>
  <c r="O31"/>
  <c r="O113" s="1"/>
  <c r="W40" l="1"/>
  <c r="W122" s="1"/>
  <c r="E32"/>
  <c r="E114" s="1"/>
  <c r="K32" l="1"/>
  <c r="K114" s="1"/>
  <c r="O32" l="1"/>
  <c r="O114" s="1"/>
  <c r="E33" l="1"/>
  <c r="E115" s="1"/>
  <c r="K33" l="1"/>
  <c r="K115" s="1"/>
  <c r="O33" l="1"/>
  <c r="O115" s="1"/>
  <c r="E34" l="1"/>
  <c r="E116" s="1"/>
  <c r="K34" l="1"/>
  <c r="K116" s="1"/>
  <c r="O34" l="1"/>
  <c r="O116" s="1"/>
  <c r="E35" l="1"/>
  <c r="E117" s="1"/>
  <c r="K35" l="1"/>
  <c r="K117" s="1"/>
  <c r="O35" l="1"/>
  <c r="O117" s="1"/>
  <c r="E36" l="1"/>
  <c r="E118" s="1"/>
  <c r="K36" l="1"/>
  <c r="K118" s="1"/>
  <c r="O36" l="1"/>
  <c r="O118" s="1"/>
  <c r="E37" l="1"/>
  <c r="E119" s="1"/>
  <c r="K37" l="1"/>
  <c r="K119" s="1"/>
  <c r="O37" l="1"/>
  <c r="O119" s="1"/>
  <c r="E38" l="1"/>
  <c r="E120" s="1"/>
  <c r="K38" l="1"/>
  <c r="K120" s="1"/>
  <c r="O38" l="1"/>
  <c r="O120" s="1"/>
  <c r="W39" l="1"/>
  <c r="W121" s="1"/>
  <c r="AC12" i="10"/>
  <c r="AE12" s="1"/>
  <c r="Z14" s="1"/>
  <c r="AC14" s="1"/>
  <c r="AE14" s="1"/>
  <c r="Z16" s="1"/>
  <c r="AC16" s="1"/>
  <c r="AE16" s="1"/>
  <c r="Z18" s="1"/>
  <c r="AC18" s="1"/>
  <c r="AE18" s="1"/>
  <c r="Z20" s="1"/>
  <c r="AC20" s="1"/>
  <c r="AE20" s="1"/>
</calcChain>
</file>

<file path=xl/comments1.xml><?xml version="1.0" encoding="utf-8"?>
<comments xmlns="http://schemas.openxmlformats.org/spreadsheetml/2006/main">
  <authors>
    <author>DELL</author>
  </authors>
  <commentList>
    <comment ref="E15" authorId="0">
      <text>
        <r>
          <rPr>
            <b/>
            <sz val="11"/>
            <color indexed="81"/>
            <rFont val="Tahoma"/>
            <family val="2"/>
          </rPr>
          <t>Ummed:आवश्यक हो तो ही संशोधन करें.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Ummed:आवश्यक हो तो ही संशोधन करें.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Ummed:आवश्यक हो तो ही संशोधन करें.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Ummed:आवश्यक हो तो ही संशोधन करें.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Ummed:आवश्यक हो तो ही संशोधन करें.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Ummed:आवश्यक हो तो ही संशोधन करें.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Ummed:आवश्यक हो तो ही संशोधन करें.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Ummed:आवश्यक हो तो ही संशोधन करें.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N4" authorId="0">
      <text>
        <r>
          <rPr>
            <b/>
            <sz val="9"/>
            <color indexed="81"/>
            <rFont val="Tahoma"/>
            <family val="2"/>
          </rPr>
          <t xml:space="preserve">Ummed </t>
        </r>
        <r>
          <rPr>
            <b/>
            <sz val="9"/>
            <color indexed="81"/>
            <rFont val="DevLys 010"/>
          </rPr>
          <t>Tarad:</t>
        </r>
        <r>
          <rPr>
            <b/>
            <sz val="16"/>
            <color indexed="81"/>
            <rFont val="DevLys 010"/>
          </rPr>
          <t>uksV%&amp; fo'ks"k ifjfLFkfr esa gh ;gk¡ fdlh MªkWi Mkmu esa vU; fodYi dk p;u djsa ojuk Ns³sa ughaA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>
      <text>
        <r>
          <rPr>
            <b/>
            <sz val="9"/>
            <color indexed="81"/>
            <rFont val="Tahoma"/>
            <family val="2"/>
          </rPr>
          <t xml:space="preserve">Ummed </t>
        </r>
        <r>
          <rPr>
            <b/>
            <sz val="9"/>
            <color indexed="81"/>
            <rFont val="DevLys 010"/>
          </rPr>
          <t>Tarad:</t>
        </r>
        <r>
          <rPr>
            <b/>
            <sz val="16"/>
            <color indexed="81"/>
            <rFont val="DevLys 010"/>
          </rPr>
          <t>uksV%&amp; fo'ks"k ifjfLFkfr esa gh ;gk¡ fdlh MªkWi Mkmu esa vU; fodYi dk p;u djsa ojuk Ns³sa ughaA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O4" authorId="0">
      <text>
        <r>
          <rPr>
            <b/>
            <sz val="9"/>
            <color indexed="81"/>
            <rFont val="Tahoma"/>
            <family val="2"/>
          </rPr>
          <t xml:space="preserve">Ummed </t>
        </r>
        <r>
          <rPr>
            <b/>
            <sz val="9"/>
            <color indexed="81"/>
            <rFont val="DevLys 010"/>
          </rPr>
          <t>Tarad:</t>
        </r>
        <r>
          <rPr>
            <b/>
            <sz val="16"/>
            <color indexed="81"/>
            <rFont val="DevLys 010"/>
          </rPr>
          <t>uksV%&amp; fo'ks"k ifjfLFkfr esa gh ;gk¡ fdlh MªkWi Mkmu esa vU; fodYi dk p;u djsa ojuk Ns³sa ughaA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 xml:space="preserve">Ummed </t>
        </r>
        <r>
          <rPr>
            <b/>
            <sz val="9"/>
            <color indexed="81"/>
            <rFont val="DevLys 010"/>
          </rPr>
          <t>Tarad:</t>
        </r>
        <r>
          <rPr>
            <b/>
            <sz val="16"/>
            <color indexed="81"/>
            <rFont val="DevLys 010"/>
          </rPr>
          <t>uksV%&amp; fo'ks"k ifjfLFkfr esa gh ;gk¡ fdlh MªkWi Mkmu esa vU; fodYi dk p;u djsa ojuk Ns³sa ughaA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<sst xmlns="http://schemas.openxmlformats.org/spreadsheetml/2006/main" count="885" uniqueCount="438">
  <si>
    <t>School Monthly Data For:-</t>
  </si>
  <si>
    <t xml:space="preserve">School Details </t>
  </si>
  <si>
    <t>School Dise Code</t>
  </si>
  <si>
    <t>School Name</t>
  </si>
  <si>
    <t>School Type</t>
  </si>
  <si>
    <t>Rural</t>
  </si>
  <si>
    <t xml:space="preserve">Category </t>
  </si>
  <si>
    <t>State</t>
  </si>
  <si>
    <t>Rajasthan</t>
  </si>
  <si>
    <t>District</t>
  </si>
  <si>
    <t>JODHPUR</t>
  </si>
  <si>
    <t>Village/Ward</t>
  </si>
  <si>
    <t>Block</t>
  </si>
  <si>
    <t>MDM Incharge</t>
  </si>
  <si>
    <t>MDM Incharge Mobile No.</t>
  </si>
  <si>
    <t>Strenght</t>
  </si>
  <si>
    <t>1 To 5</t>
  </si>
  <si>
    <t>Whatsapp No. Of MDM Incharge/ Head Of Institution</t>
  </si>
  <si>
    <t>6 To 8</t>
  </si>
  <si>
    <t>MDM Code</t>
  </si>
  <si>
    <t>1- ekg</t>
  </si>
  <si>
    <t>gsrq Hkqxrku ;ksX; jkf'k dk fooj.k</t>
  </si>
  <si>
    <t>ikS"kkgkj ls ykHkkfUor Nk=ksa dh la[;k 1 ls 5</t>
  </si>
  <si>
    <t>dqd dUotZu dh nj</t>
  </si>
  <si>
    <r>
      <t xml:space="preserve"> jkf'k ¼</t>
    </r>
    <r>
      <rPr>
        <sz val="10"/>
        <rFont val="Tahoma"/>
        <family val="2"/>
      </rPr>
      <t>1x2</t>
    </r>
    <r>
      <rPr>
        <sz val="10"/>
        <rFont val="DevLys 010"/>
      </rPr>
      <t>½</t>
    </r>
  </si>
  <si>
    <t>ikS"kkgkj ls ykHkkfUor Nk=ksa dh la[;k 6 ls 8</t>
  </si>
  <si>
    <t>dk;kZy; }kjk Hkqxrku ;ksX; ikfjr jkf'k</t>
  </si>
  <si>
    <t>2- [k|kUu ¼ek=k fdyksxzke esa vafdr djsa½</t>
  </si>
  <si>
    <t>d{kk</t>
  </si>
  <si>
    <t>ljdkj ls ekg ds nkSjku çkIr</t>
  </si>
  <si>
    <r>
      <t>jk'ku Mhyj ls m/kkj fy;k o fn;k ¼</t>
    </r>
    <r>
      <rPr>
        <sz val="8"/>
        <rFont val="Kruti Dev 010"/>
      </rPr>
      <t xml:space="preserve">$ </t>
    </r>
    <r>
      <rPr>
        <sz val="8"/>
        <rFont val="DevLys 010"/>
      </rPr>
      <t>o &amp; esa n'kkZ;sa½</t>
    </r>
  </si>
  <si>
    <t>ekg ds nkSjku O;;</t>
  </si>
  <si>
    <t>ekg ds var esa 'ks"k ¼7&amp;10½</t>
  </si>
  <si>
    <t>1 ls 5</t>
  </si>
  <si>
    <t>xsgw¡</t>
  </si>
  <si>
    <t>pkoy</t>
  </si>
  <si>
    <t>6 ls 8</t>
  </si>
  <si>
    <t>;ksx</t>
  </si>
  <si>
    <t>3- ekg ds nkSjku Js.khokj ykHkkfUor Nk=@Nk=kvksaa@dqd de gsYijksa dh la[;k</t>
  </si>
  <si>
    <t>ekg ds nkSjku ykHkkfUor Nk=@Nk=kvksa dh ls[;k 1 ls 5</t>
  </si>
  <si>
    <t>ekg ds nkSjku ykHkkfUor Nk=@Nk=kvksa dh ls[;k 6 ls 8</t>
  </si>
  <si>
    <t>fu;qDr dqd de gsYij dh Js.kh</t>
  </si>
  <si>
    <t>dqd de gsYij dh la[;k</t>
  </si>
  <si>
    <t>OTHER</t>
  </si>
  <si>
    <t>SC</t>
  </si>
  <si>
    <t>ST</t>
  </si>
  <si>
    <t>TOTAL</t>
  </si>
  <si>
    <t>4- dqd de gsYij dh lwpuk</t>
  </si>
  <si>
    <t>Øe la[;k</t>
  </si>
  <si>
    <t>dqd de gsYij dk uke</t>
  </si>
  <si>
    <t>fyax</t>
  </si>
  <si>
    <t>vk/kkj dkMZ la[;k</t>
  </si>
  <si>
    <t>5- vU; lwpuk;sa</t>
  </si>
  <si>
    <r>
      <t>6- fo</t>
    </r>
    <r>
      <rPr>
        <b/>
        <sz val="12"/>
        <rFont val="Kruti Dev 010"/>
      </rPr>
      <t>Ÿ</t>
    </r>
    <r>
      <rPr>
        <b/>
        <sz val="12"/>
        <rFont val="DevLys 010"/>
      </rPr>
      <t>kh; lwpuk</t>
    </r>
  </si>
  <si>
    <t>ekg ds nkSjku fd;s x;s fujh{k.k ¼la[;k esa n'kkZ;sa½</t>
  </si>
  <si>
    <t>iwoZ dh cdk;k vfxze jkf'k</t>
  </si>
  <si>
    <t>dqy vfxze jkf'k</t>
  </si>
  <si>
    <t>dqfdax dUotZu ,oa dqd de gsYij dk cdk;k Hkqxrku ¼ekg vafdr djsa½</t>
  </si>
  <si>
    <t>vf/kdkfj;ksa }kjk fujh{k.k</t>
  </si>
  <si>
    <t>tuçfrfuf/k;ksa }kjk fujh{k.k</t>
  </si>
  <si>
    <t>,l-,e-lh- lnL;ksa }kjk fujh{k.k</t>
  </si>
  <si>
    <t>uksV%&amp; ¼yky L;kgh ls vafdr djsa½</t>
  </si>
  <si>
    <t>is;ty lqfo/kk ,oa okVj VSad dh vafre lQkbZ dh fnukad</t>
  </si>
  <si>
    <t>fpfdRlk tkap dh frfFk</t>
  </si>
  <si>
    <t>1- çekf.kr fd;k tkrk gS fd fo|ky; esa ikS"kkgkj fu/kkZfjr ehU;w ds vuqlkjforfjr fd;k tk jgk gS rFkk çfr lIrkg Qy forfjr fd;s tk jgs gSaA</t>
  </si>
  <si>
    <t>dks ekg</t>
  </si>
  <si>
    <t>……………………</t>
  </si>
  <si>
    <t>rd dk Hkqxrku muds cSad [kkrs esa dj fn;k x;k gSA</t>
  </si>
  <si>
    <t>d{kk 6 ls 8</t>
  </si>
  <si>
    <t>gSA</t>
  </si>
  <si>
    <t xml:space="preserve">gLrk{kj ikS"kkgkj çHkkjh </t>
  </si>
  <si>
    <t>gLrk{kj laLFkk ç/kku</t>
  </si>
  <si>
    <t>feM Ms ehy ;kstuk dk ekfld mi;ksfxrk çek.k&amp;i=</t>
  </si>
  <si>
    <t>lHkh dkWye dh iwrhZ vko';d :Ik ls djsa</t>
  </si>
  <si>
    <t>Bank Name/Adress</t>
  </si>
  <si>
    <t>SBI Osian</t>
  </si>
  <si>
    <t>Account No.</t>
  </si>
  <si>
    <t>Bank IFSC Code</t>
  </si>
  <si>
    <t>SBIN0031206</t>
  </si>
  <si>
    <t>MDM Inchage Name</t>
  </si>
  <si>
    <t>MDM Incharge Mobile No-</t>
  </si>
  <si>
    <t>fnukad</t>
  </si>
  <si>
    <t xml:space="preserve">dqy </t>
  </si>
  <si>
    <t>jktdh; mPp ek/;fed fo|ky; jk;eyok³k ¼ckfi.kh½] tks/kiqj</t>
  </si>
  <si>
    <t>Bapini</t>
  </si>
  <si>
    <t>Raimalwada</t>
  </si>
  <si>
    <t>fo|ky; MkbZl dksM %&amp;</t>
  </si>
  <si>
    <t>dk;kZy;%</t>
  </si>
  <si>
    <t>School Type:-</t>
  </si>
  <si>
    <t>District:-</t>
  </si>
  <si>
    <t>Village/Ward:-</t>
  </si>
  <si>
    <t>Bank Name/Adress:-</t>
  </si>
  <si>
    <t>Bank IFSC Code:-</t>
  </si>
  <si>
    <t>MDM Incharge Mobile No:-</t>
  </si>
  <si>
    <t>Block:-</t>
  </si>
  <si>
    <t>MDM Code:-</t>
  </si>
  <si>
    <t>Account No.:-</t>
  </si>
  <si>
    <t>MDM Inchage Name:-</t>
  </si>
  <si>
    <t>Principal Mob. Number:-</t>
  </si>
  <si>
    <t>Whatsapp No. Of MDM Incharge/ Head Of Institution:-</t>
  </si>
  <si>
    <t>d{kk 1 ls 5 dqfdax duotZu nj%&amp;</t>
  </si>
  <si>
    <t>d{kk 6 ls 8 dqfdax duotZu nj%&amp;</t>
  </si>
  <si>
    <t>d{kk 1 ls 5 ikS"kkgkj [kir çfrNk= çfrfnu %&amp;</t>
  </si>
  <si>
    <t>d{kk 6 ls 8 ikS"kkgkj [kir çfrNk= çfrfnu %&amp;</t>
  </si>
  <si>
    <t>d{kk 1 ls 5 nqX/k [kir çfrNk= çfrfnu %&amp;</t>
  </si>
  <si>
    <t>d{kk 6 ls 8 nqX/k [kir çfrNk= çfrfnu %&amp;</t>
  </si>
  <si>
    <t>dqd de gSYij fooj.k</t>
  </si>
  <si>
    <t>Ø-la-</t>
  </si>
  <si>
    <t>uke</t>
  </si>
  <si>
    <t xml:space="preserve">tkfr oxZ </t>
  </si>
  <si>
    <t>Aadhar Number</t>
  </si>
  <si>
    <t xml:space="preserve">                        MDM Code:-</t>
  </si>
  <si>
    <t>Prepared By:-  Mr. Ummeda Ram (Teacher,GSSS Raimalwada) Mob.No-9166973141</t>
  </si>
  <si>
    <t>[kk|kUu</t>
  </si>
  <si>
    <t xml:space="preserve"> EmailAddress:-ummedtrdedu@gmail.com</t>
  </si>
  <si>
    <t>विकेन्द्रीयकृत रसोईघर के लिए दिनवार भोजन मेन्यू</t>
  </si>
  <si>
    <t>वार</t>
  </si>
  <si>
    <t>भोजन</t>
  </si>
  <si>
    <t>विशेष विवरण</t>
  </si>
  <si>
    <t>रोटी - सब्जी</t>
  </si>
  <si>
    <t xml:space="preserve">दूध </t>
  </si>
  <si>
    <t>रोटी - दाल</t>
  </si>
  <si>
    <t>lesfdr ekfld ykHkkfUor fo|kFkhZ la[;k</t>
  </si>
  <si>
    <t>d{kk 1 ls 5</t>
  </si>
  <si>
    <t>ykHkkfUor</t>
  </si>
  <si>
    <t>Total</t>
  </si>
  <si>
    <t>Other</t>
  </si>
  <si>
    <t>okj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</si>
  <si>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</si>
  <si>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</si>
  <si>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</si>
  <si>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</si>
  <si>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</si>
  <si>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</si>
  <si>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</si>
  <si>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</si>
  <si>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</si>
  <si>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</si>
  <si>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</si>
  <si>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</si>
  <si>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Start Date</t>
  </si>
  <si>
    <t>Total Day in this month</t>
  </si>
  <si>
    <t>End Date</t>
  </si>
  <si>
    <t>रवि॰अव॰</t>
  </si>
  <si>
    <t>शिक्षक सम्मे॰</t>
  </si>
  <si>
    <t>स्था॰अव॰</t>
  </si>
  <si>
    <t>मोहर्रम</t>
  </si>
  <si>
    <t>ईदुल-फ़ितर</t>
  </si>
  <si>
    <t>ईदुल-जुहा</t>
  </si>
  <si>
    <t>शिवरात्रि</t>
  </si>
  <si>
    <t>क्ले॰द्वारा घौ॰</t>
  </si>
  <si>
    <t>होलिका अव॰</t>
  </si>
  <si>
    <t>चैटिचंड</t>
  </si>
  <si>
    <t>रामनवमी</t>
  </si>
  <si>
    <t>महावीर ज॰</t>
  </si>
  <si>
    <t>गुड फ्रा॰</t>
  </si>
  <si>
    <t>अम्बे॰ज॰</t>
  </si>
  <si>
    <t>रक्षाबंधन</t>
  </si>
  <si>
    <t>जन्माष्टमी</t>
  </si>
  <si>
    <t>म॰गांधी ज॰</t>
  </si>
  <si>
    <t>दुर्गाष्टमी</t>
  </si>
  <si>
    <t>शीत॰अव॰</t>
  </si>
  <si>
    <t>दीपा॰ अव॰</t>
  </si>
  <si>
    <t>गु॰नानक॰ज॰</t>
  </si>
  <si>
    <t>क्रिसमस</t>
  </si>
  <si>
    <t>म॰प्रताप ज॰</t>
  </si>
  <si>
    <t>गु॰गोविंद॰ज॰</t>
  </si>
  <si>
    <t>स्व॰दिवस</t>
  </si>
  <si>
    <t>गण॰दिवस</t>
  </si>
  <si>
    <t>परशुराम ज॰</t>
  </si>
  <si>
    <t>रा॰दे॰/तेजा ज॰</t>
  </si>
  <si>
    <t>दशहरा</t>
  </si>
  <si>
    <t>ग्रीष्मावकाश</t>
  </si>
  <si>
    <t>खुला</t>
  </si>
  <si>
    <t>dksM</t>
  </si>
  <si>
    <t xml:space="preserve">ekuns; çfrdqd </t>
  </si>
  <si>
    <t>बरवफ़ात</t>
  </si>
  <si>
    <t>Sr.Sec.(I to XII)</t>
  </si>
  <si>
    <t>Monday</t>
  </si>
  <si>
    <t>Tuesday</t>
  </si>
  <si>
    <t>Wednesday</t>
  </si>
  <si>
    <t>Thursday</t>
  </si>
  <si>
    <t>Friday</t>
  </si>
  <si>
    <t>Saturday</t>
  </si>
  <si>
    <t>---</t>
  </si>
  <si>
    <t xml:space="preserve">ekg </t>
  </si>
  <si>
    <t>esa Lohd`r vfxze jkf'k</t>
  </si>
  <si>
    <r>
      <t xml:space="preserve">)    </t>
    </r>
    <r>
      <rPr>
        <sz val="10"/>
        <color theme="1"/>
        <rFont val="DevLys 010"/>
      </rPr>
      <t>o çkIr</t>
    </r>
  </si>
  <si>
    <r>
      <t xml:space="preserve">pkoy   </t>
    </r>
    <r>
      <rPr>
        <sz val="10"/>
        <color theme="1"/>
        <rFont val="Cambria"/>
        <family val="1"/>
        <scheme val="major"/>
      </rPr>
      <t>(</t>
    </r>
  </si>
  <si>
    <t>Whatsapp No. Of MDM Incharge/ Head Of Inst.</t>
  </si>
  <si>
    <t>Wheat</t>
  </si>
  <si>
    <t>Rice</t>
  </si>
  <si>
    <r>
      <t>dqy ¼3</t>
    </r>
    <r>
      <rPr>
        <b/>
        <sz val="16"/>
        <color theme="0"/>
        <rFont val="Kruti Dev 010"/>
      </rPr>
      <t>$</t>
    </r>
    <r>
      <rPr>
        <b/>
        <sz val="16"/>
        <color theme="0"/>
        <rFont val="DevLys 010"/>
      </rPr>
      <t>4</t>
    </r>
    <r>
      <rPr>
        <b/>
        <sz val="16"/>
        <color theme="0"/>
        <rFont val="Kruti Dev 010"/>
      </rPr>
      <t>$</t>
    </r>
    <r>
      <rPr>
        <b/>
        <sz val="16"/>
        <color theme="0"/>
        <rFont val="DevLys 010"/>
      </rPr>
      <t>5</t>
    </r>
    <r>
      <rPr>
        <b/>
        <sz val="16"/>
        <color theme="0"/>
        <rFont val="Kruti Dev 010"/>
      </rPr>
      <t>$</t>
    </r>
    <r>
      <rPr>
        <b/>
        <sz val="16"/>
        <color theme="0"/>
        <rFont val="DevLys 010"/>
      </rPr>
      <t>6½</t>
    </r>
  </si>
  <si>
    <r>
      <t xml:space="preserve">Js.kh </t>
    </r>
    <r>
      <rPr>
        <sz val="10"/>
        <rFont val="Cambria"/>
        <family val="1"/>
      </rPr>
      <t>SC/ST/OBC/OTHER</t>
    </r>
  </si>
  <si>
    <t>081511106901</t>
  </si>
  <si>
    <t>dks 'ks"k</t>
  </si>
  <si>
    <r>
      <t>jk'ku Mhyj ls m/kkj fy;k o fn;k ¼</t>
    </r>
    <r>
      <rPr>
        <b/>
        <sz val="12"/>
        <color theme="0"/>
        <rFont val="Kruti Dev 010"/>
      </rPr>
      <t>$@</t>
    </r>
    <r>
      <rPr>
        <b/>
        <sz val="12"/>
        <color theme="0"/>
        <rFont val="DevLys 010"/>
      </rPr>
      <t>&amp;½</t>
    </r>
  </si>
  <si>
    <t>ls xr ekg rd O;;</t>
  </si>
  <si>
    <t>फल वितरण</t>
  </si>
  <si>
    <t>1 to 5</t>
  </si>
  <si>
    <t>6 to 8</t>
  </si>
  <si>
    <t>Milk</t>
  </si>
  <si>
    <t>ljdkjh fo|ky;ksa gsrq e/;kà Hkkstu rFkk eq[;ea=h cky xksiky nqX/k ;kstuk çksxzke</t>
  </si>
  <si>
    <t>nqX/k ykHkkFkhZ</t>
  </si>
  <si>
    <t>phuh nj</t>
  </si>
  <si>
    <t>d{kk 1 ls 5 phuh nj%&amp;</t>
  </si>
  <si>
    <t>d{kk 6 ls 8 phuh nj%&amp;</t>
  </si>
  <si>
    <r>
      <t xml:space="preserve"> jkf'k </t>
    </r>
    <r>
      <rPr>
        <sz val="10"/>
        <rFont val="Tahoma"/>
        <family val="2"/>
      </rPr>
      <t>(7x8</t>
    </r>
    <r>
      <rPr>
        <sz val="10"/>
        <rFont val="DevLys 010"/>
      </rPr>
      <t>½</t>
    </r>
  </si>
  <si>
    <r>
      <t xml:space="preserve"> jkf'k </t>
    </r>
    <r>
      <rPr>
        <sz val="10"/>
        <rFont val="Tahoma"/>
        <family val="2"/>
      </rPr>
      <t>(4x5</t>
    </r>
    <r>
      <rPr>
        <sz val="10"/>
        <rFont val="DevLys 010"/>
      </rPr>
      <t>½</t>
    </r>
  </si>
  <si>
    <r>
      <t xml:space="preserve"> jkf'k </t>
    </r>
    <r>
      <rPr>
        <sz val="10"/>
        <rFont val="Tahoma"/>
        <family val="2"/>
      </rPr>
      <t>(11x12</t>
    </r>
    <r>
      <rPr>
        <sz val="10"/>
        <rFont val="DevLys 010"/>
      </rPr>
      <t>½</t>
    </r>
  </si>
  <si>
    <t>Hkqxrku ;ksX; jkf'k ¼çfr dqd½</t>
  </si>
  <si>
    <r>
      <t xml:space="preserve">dqd de gsYij dh jkf'k </t>
    </r>
    <r>
      <rPr>
        <sz val="10"/>
        <rFont val="Cambria"/>
        <family val="1"/>
        <scheme val="major"/>
      </rPr>
      <t>(13x14)</t>
    </r>
  </si>
  <si>
    <t>bZa/u O;;</t>
  </si>
  <si>
    <t>nw/k xeZ djus gsrq ekuns;</t>
  </si>
  <si>
    <r>
      <t xml:space="preserve">;ksx dkWye la[;k </t>
    </r>
    <r>
      <rPr>
        <sz val="10"/>
        <rFont val="Cambria"/>
        <family val="1"/>
        <scheme val="major"/>
      </rPr>
      <t>(3+6+9+12+15+16+17)</t>
    </r>
  </si>
  <si>
    <t>nqX/k ikmMj</t>
  </si>
  <si>
    <r>
      <t>dqy ¼2</t>
    </r>
    <r>
      <rPr>
        <b/>
        <sz val="11"/>
        <rFont val="Kruti Dev 010"/>
      </rPr>
      <t>$</t>
    </r>
    <r>
      <rPr>
        <b/>
        <sz val="11"/>
        <rFont val="DevLys 010"/>
      </rPr>
      <t>3</t>
    </r>
    <r>
      <rPr>
        <b/>
        <sz val="11"/>
        <rFont val="Kruti Dev 010"/>
      </rPr>
      <t>$</t>
    </r>
    <r>
      <rPr>
        <b/>
        <sz val="11"/>
        <rFont val="DevLys 010"/>
      </rPr>
      <t>4</t>
    </r>
    <r>
      <rPr>
        <b/>
        <sz val="11"/>
        <rFont val="Kruti Dev 010"/>
      </rPr>
      <t>$</t>
    </r>
    <r>
      <rPr>
        <b/>
        <sz val="11"/>
        <rFont val="DevLys 010"/>
      </rPr>
      <t>5</t>
    </r>
    <r>
      <rPr>
        <b/>
        <sz val="11"/>
        <rFont val="Kruti Dev 010"/>
      </rPr>
      <t>$</t>
    </r>
    <r>
      <rPr>
        <b/>
        <sz val="11"/>
        <rFont val="DevLys 010"/>
      </rPr>
      <t>6½</t>
    </r>
  </si>
  <si>
    <r>
      <t>dqy ¼8</t>
    </r>
    <r>
      <rPr>
        <b/>
        <sz val="11"/>
        <rFont val="Kruti Dev 010"/>
      </rPr>
      <t>$</t>
    </r>
    <r>
      <rPr>
        <b/>
        <sz val="11"/>
        <rFont val="DevLys 010"/>
      </rPr>
      <t>9½</t>
    </r>
  </si>
  <si>
    <t>Grand Total</t>
  </si>
  <si>
    <t>2- çekf.kr fd;k tkrk gS fd eq[;ea=h cky xksiky naX/k ;kstukUrxZr forfjr fd;s tk jgs nqX/k dh xq.koRkk] jax],oa Lokn lgha gS rFkk p[kus ,oa HkyhHkkafr tkap&amp;ij[kus ds mijkar gh ikmMj fufeZr nw/k fo|kkfFkZ;ksa dks forfjr fd;k tk jgk gSA</t>
  </si>
  <si>
    <t xml:space="preserve">3- çekf.kr fd;k tkrk gS fd yxk;s x;s dqd de gsYij la[;k </t>
  </si>
  <si>
    <t>4- çekf.kr fd;k tkrk gS fd fo|ky; esa [k|kUu miyC/k ugha gksus ij jk'ku Mhyj ls</t>
  </si>
  <si>
    <t>5- çekf.kr fd;k tkrk gS fd ikS"kkgkj idkus ,oa forj.k O;oLFkk esa xkbMykbu ds rgr iw.kZ lko/kkuh cjrh tk jgh gSA</t>
  </si>
  <si>
    <r>
      <t xml:space="preserve">6- ekg ds nkSjku tulg;ksx ls [k|kUu ¼;fn tulg;ksx ls çkIr fd;k gks rks ek=k fdxzk esa vafdr djsa xsgw¡ </t>
    </r>
    <r>
      <rPr>
        <sz val="9"/>
        <color theme="1"/>
        <rFont val="Cambria"/>
        <family val="1"/>
        <scheme val="major"/>
      </rPr>
      <t>(</t>
    </r>
  </si>
  <si>
    <t>7- ekg ds nkSjku mRlo Hkkst ds :Ik esa ykHkkfUor Nk=@Nk=kvksa dh la[;k d{kk 1 ls 5</t>
  </si>
  <si>
    <t>d{kk 6 ls 9</t>
  </si>
  <si>
    <r>
      <t>fdxzk xsgw¡@pkoy m/kkj fy;s¼</t>
    </r>
    <r>
      <rPr>
        <sz val="10"/>
        <color indexed="8"/>
        <rFont val="Kruti Dev 010"/>
      </rPr>
      <t>$</t>
    </r>
    <r>
      <rPr>
        <sz val="10"/>
        <color indexed="8"/>
        <rFont val="DevLys 010"/>
      </rPr>
      <t>½@ykSVk;s x;s¼&amp;½ x;sA</t>
    </r>
  </si>
  <si>
    <t>uksV%&amp;1- jk;ku Mhyj ds vfrfjDr fdlh vU; ls fy;k x;k [kk|kUu ykSVkus ;ksX; ugha gksxkA                                                                                                                       2- mDr çi=ds lHkh dkWye dh iwfrZ dj çfrekg 5 rkjh[k rd fHktokuk lqfuf'pr djsaA                                                                                                                      3- d{kk 1 ls 5 ds fy, phuh dh ek=k 8-4 xzke@fo|kFkhZ rFkk d{kk 6 ls 8 ds fy, 10-2 xzke@fo|kFkhZ jgsxhA</t>
  </si>
  <si>
    <t>laLFkk ç/ku gLrk{kj e; eqgj</t>
  </si>
  <si>
    <t xml:space="preserve">gLrk{kj ikS"kkgj çHkkjh </t>
  </si>
  <si>
    <t>eq[;ea=h cky xksiky nqX/k ;kstuk 29 uo-&amp;2022 ls çHkkoh</t>
  </si>
  <si>
    <t>d{kk 1 ls 5 rFkk 6 ls 8 dk ikS"kkgkj ekuns; fcy ekg%&amp;</t>
  </si>
  <si>
    <r>
      <rPr>
        <b/>
        <sz val="12"/>
        <color theme="1"/>
        <rFont val="DevLys 010"/>
      </rPr>
      <t xml:space="preserve">d{kk 1 ls 5 </t>
    </r>
    <r>
      <rPr>
        <sz val="11"/>
        <color theme="1"/>
        <rFont val="DevLys 010"/>
      </rPr>
      <t>iks"kkgkj ykHkkfUor</t>
    </r>
  </si>
  <si>
    <t>d{kk 1 ls 5 ¼xzke@fo|kFkhZ½</t>
  </si>
  <si>
    <t>100 xzke</t>
  </si>
  <si>
    <t>15 xzke</t>
  </si>
  <si>
    <r>
      <rPr>
        <b/>
        <sz val="12"/>
        <color theme="1"/>
        <rFont val="DevLys 010"/>
      </rPr>
      <t xml:space="preserve">d{kk 6 ls 8 </t>
    </r>
    <r>
      <rPr>
        <sz val="11"/>
        <color theme="1"/>
        <rFont val="DevLys 010"/>
      </rPr>
      <t>iks"kkgkj ykHkkfUor</t>
    </r>
  </si>
  <si>
    <t>d{kk 6 ls 8 ¼xzke@fo|kFkhZ½</t>
  </si>
  <si>
    <t>150 xzke</t>
  </si>
  <si>
    <t>20 xzke</t>
  </si>
  <si>
    <t>fnukad ¼okj½</t>
  </si>
  <si>
    <r>
      <t xml:space="preserve">xsgw¡ dh [kir </t>
    </r>
    <r>
      <rPr>
        <sz val="11"/>
        <color theme="1"/>
        <rFont val="Cambria"/>
        <family val="1"/>
        <scheme val="major"/>
      </rPr>
      <t>(Kg)</t>
    </r>
  </si>
  <si>
    <r>
      <t xml:space="preserve">pkoy dh [kir </t>
    </r>
    <r>
      <rPr>
        <sz val="11"/>
        <color theme="1"/>
        <rFont val="Cambria"/>
        <family val="1"/>
        <scheme val="major"/>
      </rPr>
      <t>(Kg)</t>
    </r>
  </si>
  <si>
    <r>
      <t xml:space="preserve">nqX/k ikmMj </t>
    </r>
    <r>
      <rPr>
        <sz val="12"/>
        <color theme="1"/>
        <rFont val="Cambria"/>
        <family val="1"/>
        <scheme val="major"/>
      </rPr>
      <t>(Kg)</t>
    </r>
  </si>
  <si>
    <t>Holiday</t>
  </si>
  <si>
    <t>uksV%&amp; fo'ks"k ifjfLFkfr esa gh ;gk¡ fdlh MªkWi Mkmu esa vU; fodYi dk p;u djsa ojuk Ns³sa ughaA</t>
  </si>
  <si>
    <t>vkt dk ehuw</t>
  </si>
  <si>
    <t>vodk'k@[kqyk</t>
  </si>
  <si>
    <t>क्र.सं.</t>
  </si>
  <si>
    <t>d{kk Lrj</t>
  </si>
  <si>
    <t>ikmMj feYd</t>
  </si>
  <si>
    <t xml:space="preserve">rS;kj nqX/k ek=k </t>
  </si>
  <si>
    <t>phuh dh ek=k</t>
  </si>
  <si>
    <t>150 fe-yh-</t>
  </si>
  <si>
    <t>8-4 xzke</t>
  </si>
  <si>
    <t>200 fe-yh-</t>
  </si>
  <si>
    <t>10-2 xzke</t>
  </si>
  <si>
    <t>cky xksiky ;kstuk ds rgr çR;sd fo|ky; esa çR;sd exyokj rFkk 'kqØokj ds fnu çkFkZuk lHkk ds i'pkr~ d{kk 1 ls 8 rd dks r; ekudksa ds vuqlkj nqX/k miyC/k djok;k tkuk gSA ¼uksV%&amp;;fn bu fnol dks vodk'k gS] rks Bhd vkxkeh dk;Zfnol dks ;g forj.k fd;k tk;sxkA½</t>
  </si>
  <si>
    <t>bl ,Dlsy çksxzke ds laca/k esa dqN egRoiw.kZ funsZ'k</t>
  </si>
  <si>
    <r>
      <t xml:space="preserve">3- e/;kà Hkkstu ;kstuk gsrq vko';d çi= </t>
    </r>
    <r>
      <rPr>
        <b/>
        <sz val="12"/>
        <color rgb="FFC00000"/>
        <rFont val="Cambria"/>
        <family val="1"/>
        <scheme val="major"/>
      </rPr>
      <t xml:space="preserve">"MPR" </t>
    </r>
    <r>
      <rPr>
        <b/>
        <sz val="12"/>
        <color rgb="FF002060"/>
        <rFont val="DevLys 010"/>
      </rPr>
      <t>esa vko';d gks rks dsoy fiad jax dh lSYl esa gh iwfrZ;k¡ djsa] 'ks"k vkWVkseSVsM gSA</t>
    </r>
  </si>
  <si>
    <t>lIyk;lZ ls çkIr nqX/k ikmMj ¼fdxzk½</t>
  </si>
  <si>
    <r>
      <t xml:space="preserve">1- loZçFke vkids flLVe esa </t>
    </r>
    <r>
      <rPr>
        <b/>
        <sz val="14"/>
        <color rgb="FFC00000"/>
        <rFont val="Cambria"/>
        <family val="1"/>
        <scheme val="major"/>
      </rPr>
      <t>Devlys 010</t>
    </r>
    <r>
      <rPr>
        <b/>
        <sz val="14"/>
        <color rgb="FF002060"/>
        <rFont val="DevLys 010"/>
      </rPr>
      <t xml:space="preserve"> QkWUV bULVky djsaA</t>
    </r>
  </si>
  <si>
    <r>
      <rPr>
        <b/>
        <sz val="18"/>
        <color rgb="FFC00000"/>
        <rFont val="DevLys 010"/>
      </rPr>
      <t>eq[;ea=h cky xksiky nqX/k ;kstuk</t>
    </r>
    <r>
      <rPr>
        <b/>
        <sz val="18"/>
        <color rgb="FF002060"/>
        <rFont val="DevLys 010"/>
      </rPr>
      <t xml:space="preserve"> ds laca/k esa dqN egRoiw.kZ fcUnw</t>
    </r>
  </si>
  <si>
    <t>दिनांक</t>
  </si>
  <si>
    <t>हस्ताक्षर प्रभारी</t>
  </si>
  <si>
    <t>प्रारम्भिक शेष (Kg)</t>
  </si>
  <si>
    <t>योग (Kg)</t>
  </si>
  <si>
    <t>अंतिम शेष (Kg)</t>
  </si>
  <si>
    <t>कक्षा 1 से 5</t>
  </si>
  <si>
    <t>कक्षा 6 से 8</t>
  </si>
  <si>
    <t>योग</t>
  </si>
  <si>
    <t>लाभान्वित विद्यार्थियों की संख्या</t>
  </si>
  <si>
    <t>दुग्ध गुणवता के मानक</t>
  </si>
  <si>
    <t>जांचकर्ता (SMC सदस्य/अभिभावक/अन्य आदि)</t>
  </si>
  <si>
    <t>जांचकर्ता की टिपण्णी (यदि कोई हो तो)</t>
  </si>
  <si>
    <t>हस्ताक्षर जांचकर्ता</t>
  </si>
  <si>
    <t>रंग</t>
  </si>
  <si>
    <t>गंध</t>
  </si>
  <si>
    <t>मिठास</t>
  </si>
  <si>
    <t>स्वाद</t>
  </si>
  <si>
    <r>
      <t>4- vU; lkjs çi= ;Fkk&amp;</t>
    </r>
    <r>
      <rPr>
        <b/>
        <sz val="14"/>
        <color rgb="FFFF0000"/>
        <rFont val="DevLys 010"/>
      </rPr>
      <t>^^ekfld çxfr fjiksVZ^^]^^ekfld mi;ksfxrk çek.k&amp;i=^^]^^nqX/k forj.k ,oa nqX/k LVkWd iaftdk^^] ^^[kk|kUu LVkWd iaftdk^^</t>
    </r>
    <r>
      <rPr>
        <b/>
        <sz val="14"/>
        <color rgb="FF002060"/>
        <rFont val="DevLys 010"/>
      </rPr>
      <t xml:space="preserve"> rFkk </t>
    </r>
    <r>
      <rPr>
        <b/>
        <sz val="14"/>
        <color rgb="FFFF0000"/>
        <rFont val="DevLys 010"/>
      </rPr>
      <t>^^nqX/k xq.kork iaftdk^^</t>
    </r>
    <r>
      <rPr>
        <b/>
        <sz val="14"/>
        <color rgb="FF002060"/>
        <rFont val="DevLys 010"/>
      </rPr>
      <t xml:space="preserve"> Lor% gh rS;kj gks tk;saxs] vko';drkuqlkj fçaV ysosaA</t>
    </r>
  </si>
  <si>
    <t xml:space="preserve">Prepared By:-Ummed Tarad </t>
  </si>
  <si>
    <t>(Teacher,GSSS Raimalwada) Mob.No-9166973141  EmailAddress:-ummedtrdedu@gmail.com</t>
  </si>
  <si>
    <t>दुग्ध वितरण एवं स्टॉक पंजिका</t>
  </si>
  <si>
    <t>खाद्यान्न मात्रा (Kg)</t>
  </si>
  <si>
    <t>गेहूं</t>
  </si>
  <si>
    <t>चावल</t>
  </si>
  <si>
    <t>माह के दौरान खर्च (Kg)</t>
  </si>
  <si>
    <t>lIyk;lZ ls çkIr xsgw¡ ¼fdxzk½</t>
  </si>
  <si>
    <t>lIyk;lZ ls çkIr pkoy ¼fdxzk½</t>
  </si>
  <si>
    <t>Bhanwari Devi</t>
  </si>
  <si>
    <t>Rekha</t>
  </si>
  <si>
    <t>Heera</t>
  </si>
  <si>
    <t>Female</t>
  </si>
  <si>
    <t>OBC</t>
  </si>
  <si>
    <t>fnuksa dh la[;k</t>
  </si>
  <si>
    <t>ls xr ekg ds vUr rd çkIr</t>
  </si>
  <si>
    <t>vU; L=ksr ls çIr@m/kkj fy;k ¼$@&amp;½</t>
  </si>
  <si>
    <t>dqfdax dUotZu jkf'k ekg tqykbZ] 2022 ls ,oa dqd de gsYij vçsy] 2022 ls cdk;k gSA</t>
  </si>
  <si>
    <t>ukekadu</t>
  </si>
  <si>
    <t>Nk=</t>
  </si>
  <si>
    <t>Nk=k</t>
  </si>
  <si>
    <t xml:space="preserve">                School Category:-</t>
  </si>
  <si>
    <t>Month and Year:-</t>
  </si>
  <si>
    <t>[kk|kUu LVkWd ¼ek=k fd-xzk-esa vafdr djsa½</t>
  </si>
  <si>
    <t>----</t>
  </si>
  <si>
    <t>खिचडी</t>
  </si>
  <si>
    <t xml:space="preserve"> (दाल,चावल,सब्जी आदि युक्त)</t>
  </si>
  <si>
    <t>चावल एवं दाल/सब्जी</t>
  </si>
  <si>
    <t>ekg esa vkgkj&amp;ykHkkfUor Nk=@Nk=k la[;k</t>
  </si>
  <si>
    <t>lIyk;lZ ¼ljdkj½ ls ekg ds nkSjku çkIr</t>
  </si>
  <si>
    <t>oxZokj ykHkkfUor fo|kFkhZ la[;k</t>
  </si>
  <si>
    <t>inkFkZ</t>
  </si>
  <si>
    <t>phuh</t>
  </si>
  <si>
    <t>Sugar</t>
  </si>
  <si>
    <t xml:space="preserve">phuh ¼1 ls 5½ xzke@fo|kFkhZ </t>
  </si>
  <si>
    <t>Sup. (वितरक) से प्राप्त (Kg)</t>
  </si>
  <si>
    <t>Other Source से प्राप्त (Kg)</t>
  </si>
  <si>
    <t>नामांकन</t>
  </si>
  <si>
    <t>उपस्थित विद्यार्थी</t>
  </si>
  <si>
    <t>लाभान्वित विद्यार्थी</t>
  </si>
  <si>
    <t>छात्र</t>
  </si>
  <si>
    <t>छात्रा</t>
  </si>
  <si>
    <t>vU;= ls çkIr xsgw¡ ¼fdxzk½</t>
  </si>
  <si>
    <t>vU;= ls çkIr pkoy ¼fdxzk½</t>
  </si>
  <si>
    <t>Supply से प्राप्त (1 to 5)</t>
  </si>
  <si>
    <t>Wheat =</t>
  </si>
  <si>
    <t>Rice =</t>
  </si>
  <si>
    <t>Other Source से प्राप्त/दिए (1 to 5)</t>
  </si>
  <si>
    <t>अंतिम शेष (कक्षा 1 से 5)</t>
  </si>
  <si>
    <t>गेहूं =</t>
  </si>
  <si>
    <t>चावल =</t>
  </si>
  <si>
    <t>खाद्यान्न स्टॉक पंजिका (कक्षा 1 से 5)</t>
  </si>
  <si>
    <t>विद्यार्थियों से सम्बंधित आंकड़े</t>
  </si>
  <si>
    <t>खाद्यान्न स्टॉक पंजिका (कक्षा 6 से 8)</t>
  </si>
  <si>
    <t>खाद्यान्न स्टॉक पंजिका (कक्षा 1 से 8)</t>
  </si>
  <si>
    <t>कक्षा 1 से 8</t>
  </si>
  <si>
    <t>dqy</t>
  </si>
  <si>
    <t>I</t>
  </si>
  <si>
    <t>II</t>
  </si>
  <si>
    <t>III</t>
  </si>
  <si>
    <t>IV</t>
  </si>
  <si>
    <t>V</t>
  </si>
  <si>
    <t>VI</t>
  </si>
  <si>
    <t>VII</t>
  </si>
  <si>
    <t>VIII</t>
  </si>
  <si>
    <t>fdlh L=ksr ls çkIr@[kjhn phuh ¼fdxzk½</t>
  </si>
  <si>
    <r>
      <t xml:space="preserve">2- </t>
    </r>
    <r>
      <rPr>
        <b/>
        <sz val="12"/>
        <color rgb="FFC00000"/>
        <rFont val="Cambria"/>
        <family val="1"/>
        <scheme val="major"/>
      </rPr>
      <t>"School Info","Food Data Entry"</t>
    </r>
    <r>
      <rPr>
        <b/>
        <sz val="12"/>
        <color rgb="FF002060"/>
        <rFont val="Cambria"/>
        <family val="1"/>
        <scheme val="major"/>
      </rPr>
      <t xml:space="preserve"> </t>
    </r>
    <r>
      <rPr>
        <b/>
        <sz val="12"/>
        <color rgb="FF002060"/>
        <rFont val="DevLys 010"/>
      </rPr>
      <t xml:space="preserve">rFkk </t>
    </r>
    <r>
      <rPr>
        <b/>
        <sz val="12"/>
        <color rgb="FFC00000"/>
        <rFont val="Cambria"/>
        <family val="1"/>
        <scheme val="major"/>
      </rPr>
      <t xml:space="preserve">"Milk Data Entry" </t>
    </r>
    <r>
      <rPr>
        <b/>
        <sz val="12"/>
        <color rgb="FF002060"/>
        <rFont val="DevLys 010"/>
      </rPr>
      <t>'khV~l dh vuykWd lSYl esa vko';d iwfrZ;ka djsa] /;ku jgs ;gk¡ fdlh MªkWi Mkmu esa vU; fodYi dk fo'ks"k ifjfLFkfr esa gh p;u djsa ojuk Ns³sa ughaA</t>
    </r>
  </si>
  <si>
    <t>d{kk&amp;1</t>
  </si>
  <si>
    <t>d{kk&amp;2</t>
  </si>
  <si>
    <t>d{kk&amp;3</t>
  </si>
  <si>
    <t>d{kk&amp;4</t>
  </si>
  <si>
    <t>d{kk&amp;5</t>
  </si>
  <si>
    <t>d{kk&amp;6</t>
  </si>
  <si>
    <t>d{kk&amp;7</t>
  </si>
  <si>
    <t>d{kk&amp;8</t>
  </si>
  <si>
    <t>(मुख्यमंत्री बाल गोपाल दुग्ध वितरण योजना)</t>
  </si>
  <si>
    <t>कक्षावार नामांकित विद्यार्थी</t>
  </si>
  <si>
    <t>कक्षा-1</t>
  </si>
  <si>
    <t>कक्षा-2</t>
  </si>
  <si>
    <t>कक्षा-3</t>
  </si>
  <si>
    <t>कक्षा-4</t>
  </si>
  <si>
    <t>कक्षा-5</t>
  </si>
  <si>
    <t>कक्षा-6</t>
  </si>
  <si>
    <t>कक्षा-7</t>
  </si>
  <si>
    <t>कक्षा-8</t>
  </si>
  <si>
    <t>सर्वयोग</t>
  </si>
  <si>
    <t>प्रति विद्यार्थी</t>
  </si>
  <si>
    <t>दुग्ध पाउडर</t>
  </si>
  <si>
    <t>चीनी</t>
  </si>
  <si>
    <t>तैयार दुग्ध</t>
  </si>
  <si>
    <t>15 ग्राम</t>
  </si>
  <si>
    <t>8.4 ग्राम</t>
  </si>
  <si>
    <t>150 मि.ली.</t>
  </si>
  <si>
    <t>20 ग्राम</t>
  </si>
  <si>
    <t>10.2 ग्राम</t>
  </si>
  <si>
    <t>200 मि.ली.</t>
  </si>
  <si>
    <t>Month :-</t>
  </si>
  <si>
    <t>नोट:-दुग्ध का वितरण प्रत्येक मंगलवार तथा शुक्रवार  (अवकाश होने पर अगले दिन) होगा.</t>
  </si>
  <si>
    <t>सप्ताह</t>
  </si>
  <si>
    <t>प्रथम</t>
  </si>
  <si>
    <t>द्वितीय</t>
  </si>
  <si>
    <t>तृतीय</t>
  </si>
  <si>
    <t>चतुर्थ</t>
  </si>
  <si>
    <t>पञ्चम</t>
  </si>
  <si>
    <t>लाभान्वित कक्षा 1 से 5</t>
  </si>
  <si>
    <t>कक्षा</t>
  </si>
  <si>
    <t>लाभान्वित कक्षा 6 से 8</t>
  </si>
  <si>
    <t>कुल लाभान्वित (1 से 8)</t>
  </si>
  <si>
    <t>कुल दुग्ध वितरण</t>
  </si>
  <si>
    <t>1-5 तक 15 ग्राम/विद्यार्थी</t>
  </si>
  <si>
    <t>योग (कुल खपत) 1-8 तक</t>
  </si>
  <si>
    <t>6-8 तक 20 ग्राम/विद्यार्थी</t>
  </si>
  <si>
    <t>कुल चीनी वितरण</t>
  </si>
  <si>
    <t>1-5 तक 8.4 ग्राम/विद्यार्थी</t>
  </si>
  <si>
    <t>6-8 तक 10.2 ग्राम/विद्यार्थी</t>
  </si>
  <si>
    <t>दुग्ध चालान संख्या</t>
  </si>
  <si>
    <t>दुग्ध पावडर वितरण</t>
  </si>
  <si>
    <t>गत शेष</t>
  </si>
  <si>
    <t>सप्लायर्स से प्राप्त</t>
  </si>
  <si>
    <t>शेष</t>
  </si>
  <si>
    <t>चीनी वितरण</t>
  </si>
  <si>
    <t>प्राप्त/ खरीद</t>
  </si>
  <si>
    <t>कुल योग</t>
  </si>
  <si>
    <t>दुग्ध</t>
  </si>
  <si>
    <t>vU;= ls çkIr ¼fdxzk½</t>
  </si>
  <si>
    <t>अन्य स्त्रोत से प्राप्त</t>
  </si>
  <si>
    <t>माह के अंत में</t>
  </si>
  <si>
    <t>कुक कम हैल्पर-विवरण व भुगतान तालिका</t>
  </si>
  <si>
    <t>नाम</t>
  </si>
  <si>
    <t>जाति</t>
  </si>
  <si>
    <t>देय राशि</t>
  </si>
  <si>
    <t>पिछला शेष</t>
  </si>
  <si>
    <t xml:space="preserve">इस माह का </t>
  </si>
  <si>
    <t>भुगतान राशि</t>
  </si>
  <si>
    <t>अंत में शेष राशि</t>
  </si>
  <si>
    <t>समस्त भुगतान विवरण</t>
  </si>
  <si>
    <t>नाम सामग्री</t>
  </si>
  <si>
    <t>नाम क्रेता</t>
  </si>
  <si>
    <t>वाउचर सं व दिनांक</t>
  </si>
  <si>
    <t>वजन</t>
  </si>
  <si>
    <t>दर</t>
  </si>
  <si>
    <t>राशि</t>
  </si>
  <si>
    <t>दूध</t>
  </si>
  <si>
    <t>गैस</t>
  </si>
  <si>
    <t>कुक कम हैल्पर</t>
  </si>
  <si>
    <t>अन्य</t>
  </si>
  <si>
    <t>वित्तीय स्थिति</t>
  </si>
  <si>
    <t>प्रारम्भिक शेष</t>
  </si>
  <si>
    <t>प्राप्त राशि</t>
  </si>
  <si>
    <t>शेष राशि</t>
  </si>
  <si>
    <t>SDMC/SMC द्वारा प्रमाणीकरण</t>
  </si>
  <si>
    <t>हस्ताक्षर जाँचकर्त्ता</t>
  </si>
  <si>
    <t>हस्ताक्षर संस्था प्रधान</t>
  </si>
  <si>
    <t>हस्ताक्षर प्रमाणितकर्त्ता</t>
  </si>
  <si>
    <t>Month:-</t>
  </si>
  <si>
    <t>सप्ताह की खपत</t>
  </si>
  <si>
    <t>Updated On 09-12-2022</t>
  </si>
</sst>
</file>

<file path=xl/styles.xml><?xml version="1.0" encoding="utf-8"?>
<styleSheet xmlns="http://schemas.openxmlformats.org/spreadsheetml/2006/main">
  <numFmts count="17">
    <numFmt numFmtId="164" formatCode="[$-409]mmmm/yy;@"/>
    <numFmt numFmtId="165" formatCode="0.000"/>
    <numFmt numFmtId="166" formatCode="[$-409]d/mmm/yy;@"/>
    <numFmt numFmtId="167" formatCode="0.000\ &quot;Kg.&quot;"/>
    <numFmt numFmtId="168" formatCode="[$₹-449]\ #,##0;[Red][$₹-449]\ #,##0"/>
    <numFmt numFmtId="169" formatCode="[$₹-4009]\ #,##0.00"/>
    <numFmt numFmtId="170" formatCode="[$₹-4009]\ #,##0"/>
    <numFmt numFmtId="171" formatCode="[$-409]d/mmm/yyyy;@"/>
    <numFmt numFmtId="172" formatCode="&quot;₹&quot;\ #,##0.000"/>
    <numFmt numFmtId="173" formatCode="&quot;₹&quot;\ #,##0"/>
    <numFmt numFmtId="174" formatCode="[$₹-4009]\ #,##0.000"/>
    <numFmt numFmtId="175" formatCode="0.000\ &quot;Kg.)&quot;"/>
    <numFmt numFmtId="176" formatCode="[$-409]mmm/yy;@"/>
    <numFmt numFmtId="177" formatCode="0."/>
    <numFmt numFmtId="178" formatCode="[$-409]dd/mmm/yy;@"/>
    <numFmt numFmtId="179" formatCode="0.0\ &quot;gm&quot;"/>
    <numFmt numFmtId="180" formatCode="[$-14009]dd/mm/yyyy;@"/>
  </numFmts>
  <fonts count="176"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2"/>
      <name val="DevLys 010"/>
    </font>
    <font>
      <sz val="10"/>
      <name val="DevLys 010"/>
    </font>
    <font>
      <sz val="10"/>
      <name val="Tahoma"/>
      <family val="2"/>
    </font>
    <font>
      <sz val="8"/>
      <name val="DevLys 010"/>
    </font>
    <font>
      <sz val="10"/>
      <color theme="1"/>
      <name val="DevLys 010"/>
    </font>
    <font>
      <sz val="10"/>
      <color indexed="8"/>
      <name val="Kruti Dev 010"/>
    </font>
    <font>
      <sz val="10"/>
      <color indexed="8"/>
      <name val="DevLys 010"/>
    </font>
    <font>
      <b/>
      <sz val="8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0"/>
      <name val="DevLys 010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6"/>
      <name val="Cambria"/>
      <family val="1"/>
      <scheme val="major"/>
    </font>
    <font>
      <sz val="11"/>
      <name val="DevLys 010"/>
    </font>
    <font>
      <sz val="9"/>
      <name val="DevLys 010"/>
    </font>
    <font>
      <sz val="8"/>
      <name val="Kruti Dev 010"/>
    </font>
    <font>
      <sz val="9"/>
      <name val="Cambria"/>
      <family val="1"/>
      <scheme val="major"/>
    </font>
    <font>
      <sz val="10"/>
      <name val="Cambria"/>
      <family val="1"/>
    </font>
    <font>
      <b/>
      <sz val="12"/>
      <name val="Kruti Dev 010"/>
    </font>
    <font>
      <sz val="8"/>
      <color theme="1"/>
      <name val="DevLys 010"/>
    </font>
    <font>
      <sz val="6"/>
      <color theme="1"/>
      <name val="Cambria"/>
      <family val="1"/>
      <scheme val="major"/>
    </font>
    <font>
      <sz val="11"/>
      <color theme="1"/>
      <name val="DevLys 010"/>
    </font>
    <font>
      <b/>
      <sz val="7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theme="1"/>
      <name val="DevLys 010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26"/>
      <color theme="1"/>
      <name val="DevLys 010"/>
    </font>
    <font>
      <b/>
      <sz val="18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16"/>
      <color theme="0"/>
      <name val="DevLys 010"/>
    </font>
    <font>
      <b/>
      <sz val="14"/>
      <color theme="0"/>
      <name val="DevLys 010"/>
    </font>
    <font>
      <b/>
      <sz val="14"/>
      <color theme="0"/>
      <name val="Cambria"/>
      <family val="1"/>
      <scheme val="major"/>
    </font>
    <font>
      <b/>
      <sz val="28"/>
      <color theme="0"/>
      <name val="DevLys 010"/>
    </font>
    <font>
      <b/>
      <sz val="14"/>
      <color theme="1"/>
      <name val="Cambria"/>
      <family val="1"/>
      <scheme val="major"/>
    </font>
    <font>
      <b/>
      <sz val="36"/>
      <color theme="0"/>
      <name val="DevLys 010"/>
    </font>
    <font>
      <b/>
      <sz val="22"/>
      <color theme="0"/>
      <name val="DevLys 010"/>
    </font>
    <font>
      <b/>
      <sz val="12"/>
      <color theme="0"/>
      <name val="DevLys 010"/>
    </font>
    <font>
      <b/>
      <sz val="11"/>
      <color rgb="FFFFFF00"/>
      <name val="DevLys 010"/>
    </font>
    <font>
      <b/>
      <sz val="11"/>
      <color rgb="FFFFFF00"/>
      <name val="Calibri"/>
      <family val="2"/>
      <scheme val="minor"/>
    </font>
    <font>
      <b/>
      <sz val="14"/>
      <color rgb="FFFFFF00"/>
      <name val="DevLys 010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9"/>
      <color theme="0"/>
      <name val="Cambria"/>
      <family val="1"/>
      <scheme val="major"/>
    </font>
    <font>
      <i/>
      <sz val="22"/>
      <color rgb="FFFFFF00"/>
      <name val="DeVinne Txt BT"/>
      <family val="1"/>
    </font>
    <font>
      <b/>
      <sz val="11"/>
      <color rgb="FFFFFF00"/>
      <name val="Cambria"/>
      <family val="1"/>
      <scheme val="major"/>
    </font>
    <font>
      <b/>
      <sz val="12"/>
      <color theme="0"/>
      <name val="Kruti Dev 010"/>
    </font>
    <font>
      <b/>
      <sz val="13"/>
      <color theme="1"/>
      <name val="Calibri"/>
      <family val="2"/>
      <scheme val="minor"/>
    </font>
    <font>
      <b/>
      <sz val="24"/>
      <color rgb="FFFFFF00"/>
      <name val="DevLys 010"/>
    </font>
    <font>
      <b/>
      <sz val="10"/>
      <color theme="1"/>
      <name val="Calibri"/>
      <family val="2"/>
      <scheme val="minor"/>
    </font>
    <font>
      <b/>
      <sz val="23"/>
      <color rgb="FFFFFF00"/>
      <name val="DevLys 010"/>
    </font>
    <font>
      <sz val="16"/>
      <color theme="0"/>
      <name val="Cambria"/>
      <family val="1"/>
      <scheme val="major"/>
    </font>
    <font>
      <sz val="9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8"/>
      <name val="Cambria"/>
      <family val="1"/>
      <scheme val="major"/>
    </font>
    <font>
      <sz val="14"/>
      <name val="DevLys 010"/>
    </font>
    <font>
      <sz val="9"/>
      <color theme="1"/>
      <name val="DevLys 010"/>
    </font>
    <font>
      <sz val="9"/>
      <color theme="1"/>
      <name val="Cambria"/>
      <family val="1"/>
      <scheme val="major"/>
    </font>
    <font>
      <b/>
      <sz val="8"/>
      <name val="DevLys 010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0"/>
      <name val="Kruti Dev 010"/>
    </font>
    <font>
      <b/>
      <sz val="11"/>
      <name val="DevLys 010"/>
    </font>
    <font>
      <b/>
      <sz val="11"/>
      <color theme="1"/>
      <name val="Cambria"/>
      <family val="1"/>
      <scheme val="major"/>
    </font>
    <font>
      <b/>
      <sz val="48"/>
      <color theme="0"/>
      <name val="Britannic Bold"/>
      <family val="2"/>
    </font>
    <font>
      <b/>
      <sz val="16"/>
      <color theme="1"/>
      <name val="Kruti Dev 010"/>
    </font>
    <font>
      <b/>
      <sz val="20"/>
      <color theme="0"/>
      <name val="Calibri"/>
      <family val="2"/>
      <scheme val="minor"/>
    </font>
    <font>
      <b/>
      <sz val="14"/>
      <name val="DevLys 010"/>
    </font>
    <font>
      <b/>
      <sz val="10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0"/>
      <name val="DevLys 010"/>
    </font>
    <font>
      <b/>
      <sz val="12"/>
      <color theme="1"/>
      <name val="DevLys 010"/>
    </font>
    <font>
      <b/>
      <sz val="12"/>
      <color theme="1"/>
      <name val="Kruti Dev 010"/>
    </font>
    <font>
      <b/>
      <sz val="11"/>
      <color rgb="FFFF0000"/>
      <name val="DevLys 010"/>
    </font>
    <font>
      <b/>
      <sz val="16"/>
      <color rgb="FFFFFF00"/>
      <name val="DevLys 010"/>
    </font>
    <font>
      <sz val="12"/>
      <name val="DevLys 010"/>
    </font>
    <font>
      <b/>
      <sz val="11"/>
      <name val="Kruti Dev 010"/>
    </font>
    <font>
      <sz val="14"/>
      <color theme="1"/>
      <name val="DevLys 010"/>
    </font>
    <font>
      <b/>
      <sz val="16"/>
      <name val="DevLys 010"/>
    </font>
    <font>
      <b/>
      <sz val="12"/>
      <color indexed="8"/>
      <name val="Kruti Dev 010"/>
    </font>
    <font>
      <sz val="11"/>
      <color theme="1"/>
      <name val="Cheltenhm BT"/>
      <family val="1"/>
    </font>
    <font>
      <b/>
      <sz val="18"/>
      <color theme="1"/>
      <name val="Kruti Dev 010"/>
    </font>
    <font>
      <sz val="12"/>
      <color theme="1"/>
      <name val="Cambria"/>
      <family val="1"/>
      <scheme val="major"/>
    </font>
    <font>
      <b/>
      <sz val="28"/>
      <color theme="1"/>
      <name val="Kruti Dev 010"/>
    </font>
    <font>
      <b/>
      <sz val="18"/>
      <color rgb="FFFFFF00"/>
      <name val="DevLys 010"/>
    </font>
    <font>
      <b/>
      <sz val="22"/>
      <color theme="0"/>
      <name val="Agency FB"/>
      <family val="2"/>
    </font>
    <font>
      <b/>
      <i/>
      <sz val="14"/>
      <color theme="0"/>
      <name val="Lucida Fax"/>
      <family val="1"/>
    </font>
    <font>
      <b/>
      <sz val="10"/>
      <color rgb="FF002060"/>
      <name val="Calibri"/>
      <family val="2"/>
      <scheme val="minor"/>
    </font>
    <font>
      <b/>
      <sz val="12"/>
      <color rgb="FF002060"/>
      <name val="Cambria"/>
      <family val="1"/>
      <scheme val="major"/>
    </font>
    <font>
      <b/>
      <sz val="14"/>
      <color rgb="FFC00000"/>
      <name val="Cambria"/>
      <family val="1"/>
      <scheme val="major"/>
    </font>
    <font>
      <b/>
      <sz val="16"/>
      <color rgb="FFFFFF00"/>
      <name val="Cambria"/>
      <family val="1"/>
      <scheme val="major"/>
    </font>
    <font>
      <b/>
      <sz val="16"/>
      <color rgb="FF00206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DevLys 010"/>
    </font>
    <font>
      <b/>
      <sz val="16"/>
      <color indexed="81"/>
      <name val="DevLys 010"/>
    </font>
    <font>
      <b/>
      <sz val="20"/>
      <color rgb="FF002060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2"/>
      <color rgb="FF002060"/>
      <name val="DevLys 010"/>
    </font>
    <font>
      <b/>
      <sz val="14"/>
      <color rgb="FF002060"/>
      <name val="DevLys 010"/>
    </font>
    <font>
      <b/>
      <sz val="18"/>
      <color rgb="FF002060"/>
      <name val="DevLys 010"/>
    </font>
    <font>
      <b/>
      <sz val="14"/>
      <color rgb="FFFF0000"/>
      <name val="DevLys 010"/>
    </font>
    <font>
      <b/>
      <sz val="12"/>
      <color rgb="FFC00000"/>
      <name val="Cambria"/>
      <family val="1"/>
      <scheme val="major"/>
    </font>
    <font>
      <b/>
      <sz val="12"/>
      <color rgb="FFC00000"/>
      <name val="DevLys 010"/>
    </font>
    <font>
      <b/>
      <sz val="22"/>
      <color rgb="FF002060"/>
      <name val="DevLys 010"/>
    </font>
    <font>
      <b/>
      <sz val="18"/>
      <color rgb="FFC00000"/>
      <name val="DevLys 010"/>
    </font>
    <font>
      <b/>
      <sz val="22"/>
      <color theme="1"/>
      <name val="DevLys 010"/>
    </font>
    <font>
      <sz val="14"/>
      <color rgb="FF002060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16"/>
      <color rgb="FF002060"/>
      <name val="Aldine721 BT"/>
      <family val="1"/>
    </font>
    <font>
      <b/>
      <sz val="16"/>
      <color rgb="FFC00000"/>
      <name val="Aldine721 BT"/>
      <family val="1"/>
    </font>
    <font>
      <b/>
      <sz val="11"/>
      <color theme="1"/>
      <name val="DevLys 010"/>
    </font>
    <font>
      <b/>
      <sz val="14"/>
      <color theme="1"/>
      <name val="DevLys 010"/>
    </font>
    <font>
      <b/>
      <sz val="14"/>
      <color rgb="FFFFFF00"/>
      <name val="Cambria"/>
      <family val="1"/>
      <scheme val="major"/>
    </font>
    <font>
      <b/>
      <sz val="12"/>
      <color rgb="FFFFFF00"/>
      <name val="Cambria"/>
      <family val="1"/>
      <scheme val="major"/>
    </font>
    <font>
      <b/>
      <sz val="28"/>
      <color rgb="FF002060"/>
      <name val="DevLys 010"/>
    </font>
    <font>
      <sz val="12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16"/>
      <color theme="1"/>
      <name val="DevLys 010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rgb="FFFF0000"/>
      <name val="DevLys 010"/>
    </font>
    <font>
      <b/>
      <sz val="12"/>
      <color rgb="FFFF0000"/>
      <name val="Cambria"/>
      <family val="1"/>
      <scheme val="major"/>
    </font>
    <font>
      <b/>
      <i/>
      <sz val="24"/>
      <color rgb="FFFFFF00"/>
      <name val="DeVinne Txt BT"/>
      <family val="1"/>
    </font>
    <font>
      <b/>
      <sz val="18"/>
      <color theme="0"/>
      <name val="DevLys 010"/>
    </font>
    <font>
      <b/>
      <sz val="18"/>
      <color rgb="FFC0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20"/>
      <color rgb="FFFFFF00"/>
      <name val="DevLys 010"/>
    </font>
    <font>
      <b/>
      <sz val="8"/>
      <color rgb="FF002060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16"/>
      <color rgb="FF002060"/>
      <name val="DevLys 010"/>
    </font>
    <font>
      <b/>
      <sz val="7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b/>
      <sz val="20"/>
      <color theme="0"/>
      <name val="DevLys 010"/>
    </font>
    <font>
      <b/>
      <sz val="18"/>
      <color rgb="FF002060"/>
      <name val="Calibri"/>
      <family val="2"/>
      <scheme val="minor"/>
    </font>
    <font>
      <b/>
      <sz val="18"/>
      <color theme="0"/>
      <name val="Cambria"/>
      <family val="1"/>
      <scheme val="major"/>
    </font>
    <font>
      <sz val="11"/>
      <color rgb="FF002060"/>
      <name val="Cambria"/>
      <family val="1"/>
      <scheme val="major"/>
    </font>
    <font>
      <b/>
      <sz val="12"/>
      <color rgb="FFFFFF00"/>
      <name val="DevLys 010"/>
    </font>
    <font>
      <b/>
      <sz val="14"/>
      <color rgb="FFC00000"/>
      <name val="Calibri"/>
      <family val="2"/>
      <scheme val="minor"/>
    </font>
    <font>
      <b/>
      <sz val="22"/>
      <color rgb="FF002060"/>
      <name val="Cambria"/>
      <family val="1"/>
      <scheme val="major"/>
    </font>
    <font>
      <b/>
      <sz val="11"/>
      <color rgb="FF002060"/>
      <name val="Cambria"/>
      <family val="1"/>
      <scheme val="major"/>
    </font>
    <font>
      <b/>
      <sz val="10"/>
      <color rgb="FF002060"/>
      <name val="Cambria"/>
      <family val="1"/>
      <scheme val="major"/>
    </font>
    <font>
      <b/>
      <sz val="9"/>
      <color rgb="FF002060"/>
      <name val="Cambria"/>
      <family val="1"/>
      <scheme val="major"/>
    </font>
    <font>
      <b/>
      <sz val="8"/>
      <color rgb="FFC00000"/>
      <name val="Cambria"/>
      <family val="1"/>
      <scheme val="major"/>
    </font>
    <font>
      <sz val="10"/>
      <color rgb="FF002060"/>
      <name val="Cambria"/>
      <family val="1"/>
      <scheme val="major"/>
    </font>
    <font>
      <b/>
      <vertAlign val="superscript"/>
      <sz val="12"/>
      <color rgb="FFC00000"/>
      <name val="Cambria"/>
      <family val="1"/>
      <scheme val="major"/>
    </font>
    <font>
      <b/>
      <vertAlign val="superscript"/>
      <sz val="12"/>
      <color rgb="FF002060"/>
      <name val="Cambria"/>
      <family val="1"/>
      <scheme val="major"/>
    </font>
    <font>
      <sz val="8"/>
      <color rgb="FFC00000"/>
      <name val="Cambria"/>
      <family val="1"/>
      <scheme val="major"/>
    </font>
    <font>
      <sz val="8"/>
      <color rgb="FF002060"/>
      <name val="Cambria"/>
      <family val="1"/>
      <scheme val="major"/>
    </font>
    <font>
      <sz val="8"/>
      <color rgb="FFFF0000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36"/>
      <color rgb="FF002060"/>
      <name val="DevLys 010"/>
    </font>
    <font>
      <b/>
      <vertAlign val="superscript"/>
      <sz val="14"/>
      <color rgb="FF002060"/>
      <name val="Cambria"/>
      <family val="1"/>
      <scheme val="major"/>
    </font>
    <font>
      <b/>
      <vertAlign val="superscript"/>
      <sz val="16"/>
      <color rgb="FF002060"/>
      <name val="Cambria"/>
      <family val="1"/>
      <scheme val="major"/>
    </font>
    <font>
      <sz val="12"/>
      <color rgb="FF002060"/>
      <name val="Cambria"/>
      <family val="1"/>
      <scheme val="major"/>
    </font>
    <font>
      <b/>
      <vertAlign val="superscript"/>
      <sz val="14"/>
      <color rgb="FFC00000"/>
      <name val="Cambria"/>
      <family val="1"/>
      <scheme val="major"/>
    </font>
    <font>
      <b/>
      <sz val="26"/>
      <color rgb="FF002060"/>
      <name val="Cambria"/>
      <family val="1"/>
      <scheme val="major"/>
    </font>
    <font>
      <b/>
      <vertAlign val="superscript"/>
      <sz val="20"/>
      <color rgb="FFC00000"/>
      <name val="Cambria"/>
      <family val="1"/>
      <scheme val="major"/>
    </font>
    <font>
      <b/>
      <vertAlign val="superscript"/>
      <sz val="20"/>
      <color rgb="FF002060"/>
      <name val="Cambria"/>
      <family val="1"/>
      <scheme val="major"/>
    </font>
    <font>
      <sz val="18"/>
      <color rgb="FF002060"/>
      <name val="Cambria"/>
      <family val="1"/>
      <scheme val="major"/>
    </font>
    <font>
      <b/>
      <sz val="26"/>
      <color rgb="FFC00000"/>
      <name val="Cambria"/>
      <family val="1"/>
      <scheme val="major"/>
    </font>
    <font>
      <b/>
      <sz val="22"/>
      <color rgb="FFC00000"/>
      <name val="Cambria"/>
      <family val="1"/>
      <scheme val="major"/>
    </font>
    <font>
      <b/>
      <vertAlign val="superscript"/>
      <sz val="18"/>
      <color rgb="FF002060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26"/>
      <color theme="0"/>
      <name val="Cambria"/>
      <family val="1"/>
      <scheme val="maj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gradientFill degree="90">
        <stop position="0">
          <color rgb="FF002060"/>
        </stop>
        <stop position="1">
          <color theme="1"/>
        </stop>
      </gradientFill>
    </fill>
    <fill>
      <gradientFill degree="90">
        <stop position="0">
          <color theme="9" tint="0.80001220740379042"/>
        </stop>
        <stop position="1">
          <color theme="8" tint="0.80001220740379042"/>
        </stop>
      </gradientFill>
    </fill>
    <fill>
      <gradientFill degree="45">
        <stop position="0">
          <color theme="1"/>
        </stop>
        <stop position="1">
          <color rgb="FF002060"/>
        </stop>
      </gradientFill>
    </fill>
    <fill>
      <gradientFill degree="90">
        <stop position="0">
          <color rgb="FFFF0000"/>
        </stop>
        <stop position="1">
          <color rgb="FFFFC000"/>
        </stop>
      </gradientFill>
    </fill>
    <fill>
      <gradientFill degree="90">
        <stop position="0">
          <color theme="5"/>
        </stop>
        <stop position="1">
          <color rgb="FF00B050"/>
        </stop>
      </gradientFill>
    </fill>
    <fill>
      <gradientFill degree="90">
        <stop position="0">
          <color theme="9" tint="0.40000610370189521"/>
        </stop>
        <stop position="1">
          <color theme="9" tint="-0.25098422193060094"/>
        </stop>
      </gradient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gradientFill degree="90">
        <stop position="0">
          <color rgb="FF92D050"/>
        </stop>
        <stop position="1">
          <color rgb="FF00B050"/>
        </stop>
      </gradientFill>
    </fill>
    <fill>
      <patternFill patternType="solid">
        <fgColor rgb="FF002060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theme="1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patternFill patternType="solid">
        <fgColor theme="0" tint="-4.9989318521683403E-2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 style="medium">
        <color rgb="FFFFFF00"/>
      </right>
      <top/>
      <bottom/>
      <diagonal/>
    </border>
    <border>
      <left style="medium">
        <color rgb="FFFFFF00"/>
      </left>
      <right style="medium">
        <color rgb="FFFFFF00"/>
      </right>
      <top/>
      <bottom style="medium">
        <color rgb="FFFFFF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 style="thin">
        <color rgb="FFFF0000"/>
      </left>
      <right/>
      <top style="medium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FF00"/>
      </left>
      <right/>
      <top/>
      <bottom/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medium">
        <color rgb="FFFF0000"/>
      </right>
      <top/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</borders>
  <cellStyleXfs count="2">
    <xf numFmtId="0" fontId="0" fillId="0" borderId="0"/>
    <xf numFmtId="0" fontId="70" fillId="0" borderId="0" applyNumberFormat="0" applyFill="0" applyBorder="0" applyAlignment="0" applyProtection="0">
      <alignment vertical="top"/>
      <protection locked="0"/>
    </xf>
  </cellStyleXfs>
  <cellXfs count="1292">
    <xf numFmtId="0" fontId="0" fillId="0" borderId="0" xfId="0"/>
    <xf numFmtId="49" fontId="6" fillId="2" borderId="1" xfId="0" applyNumberFormat="1" applyFont="1" applyFill="1" applyBorder="1" applyAlignment="1" applyProtection="1">
      <alignment vertical="center" wrapText="1"/>
      <protection hidden="1"/>
    </xf>
    <xf numFmtId="49" fontId="6" fillId="2" borderId="1" xfId="0" applyNumberFormat="1" applyFont="1" applyFill="1" applyBorder="1" applyAlignment="1" applyProtection="1">
      <alignment vertical="top" wrapText="1"/>
      <protection hidden="1"/>
    </xf>
    <xf numFmtId="0" fontId="22" fillId="2" borderId="1" xfId="0" applyFont="1" applyFill="1" applyBorder="1" applyAlignment="1" applyProtection="1">
      <alignment horizontal="center" wrapText="1"/>
      <protection hidden="1"/>
    </xf>
    <xf numFmtId="0" fontId="35" fillId="16" borderId="0" xfId="0" applyFont="1" applyFill="1" applyAlignment="1" applyProtection="1">
      <alignment horizontal="center" vertical="center"/>
      <protection hidden="1"/>
    </xf>
    <xf numFmtId="0" fontId="0" fillId="16" borderId="0" xfId="0" applyFill="1" applyProtection="1">
      <protection hidden="1"/>
    </xf>
    <xf numFmtId="0" fontId="62" fillId="16" borderId="1" xfId="0" applyFont="1" applyFill="1" applyBorder="1" applyAlignment="1" applyProtection="1">
      <alignment horizontal="center" vertical="center" wrapText="1"/>
      <protection hidden="1"/>
    </xf>
    <xf numFmtId="0" fontId="25" fillId="2" borderId="1" xfId="0" applyFont="1" applyFill="1" applyBorder="1" applyAlignment="1" applyProtection="1">
      <alignment horizontal="center" vertical="center" wrapText="1"/>
      <protection hidden="1"/>
    </xf>
    <xf numFmtId="0" fontId="25" fillId="2" borderId="58" xfId="0" applyFont="1" applyFill="1" applyBorder="1" applyAlignment="1" applyProtection="1">
      <alignment horizontal="center" vertical="center" wrapText="1"/>
      <protection hidden="1"/>
    </xf>
    <xf numFmtId="0" fontId="66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Border="1" applyAlignment="1" applyProtection="1">
      <alignment horizontal="left"/>
      <protection hidden="1"/>
    </xf>
    <xf numFmtId="169" fontId="20" fillId="0" borderId="1" xfId="0" applyNumberFormat="1" applyFont="1" applyBorder="1" applyAlignment="1" applyProtection="1">
      <alignment horizontal="center" vertical="center" wrapText="1"/>
      <protection hidden="1"/>
    </xf>
    <xf numFmtId="0" fontId="44" fillId="9" borderId="12" xfId="0" applyFont="1" applyFill="1" applyBorder="1" applyAlignment="1" applyProtection="1">
      <alignment horizontal="center" vertical="center"/>
      <protection locked="0"/>
    </xf>
    <xf numFmtId="1" fontId="44" fillId="9" borderId="17" xfId="0" applyNumberFormat="1" applyFont="1" applyFill="1" applyBorder="1" applyAlignment="1" applyProtection="1">
      <alignment horizontal="center" vertical="center"/>
      <protection locked="0"/>
    </xf>
    <xf numFmtId="0" fontId="44" fillId="9" borderId="19" xfId="0" applyFont="1" applyFill="1" applyBorder="1" applyAlignment="1" applyProtection="1">
      <alignment horizontal="center" vertical="center"/>
      <protection locked="0"/>
    </xf>
    <xf numFmtId="1" fontId="44" fillId="9" borderId="20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Protection="1">
      <protection hidden="1"/>
    </xf>
    <xf numFmtId="0" fontId="34" fillId="7" borderId="0" xfId="0" applyFont="1" applyFill="1" applyAlignment="1" applyProtection="1">
      <alignment horizontal="center" vertical="center"/>
      <protection hidden="1"/>
    </xf>
    <xf numFmtId="0" fontId="49" fillId="4" borderId="29" xfId="0" applyFont="1" applyFill="1" applyBorder="1" applyAlignment="1" applyProtection="1">
      <alignment horizontal="center" vertical="center"/>
      <protection hidden="1"/>
    </xf>
    <xf numFmtId="14" fontId="49" fillId="4" borderId="29" xfId="0" applyNumberFormat="1" applyFont="1" applyFill="1" applyBorder="1" applyAlignment="1" applyProtection="1">
      <alignment horizontal="center" vertical="center"/>
      <protection hidden="1"/>
    </xf>
    <xf numFmtId="0" fontId="49" fillId="4" borderId="12" xfId="0" applyFont="1" applyFill="1" applyBorder="1" applyAlignment="1" applyProtection="1">
      <alignment horizontal="center" vertical="center"/>
      <protection hidden="1"/>
    </xf>
    <xf numFmtId="14" fontId="49" fillId="4" borderId="12" xfId="0" applyNumberFormat="1" applyFont="1" applyFill="1" applyBorder="1" applyAlignment="1" applyProtection="1">
      <alignment horizontal="center" vertical="center"/>
      <protection hidden="1"/>
    </xf>
    <xf numFmtId="165" fontId="6" fillId="0" borderId="12" xfId="0" applyNumberFormat="1" applyFont="1" applyBorder="1" applyAlignment="1" applyProtection="1">
      <alignment horizontal="center" vertical="center" wrapText="1"/>
      <protection locked="0"/>
    </xf>
    <xf numFmtId="0" fontId="40" fillId="4" borderId="14" xfId="0" applyFont="1" applyFill="1" applyBorder="1" applyAlignment="1" applyProtection="1">
      <alignment horizontal="center" vertical="center" wrapText="1"/>
      <protection hidden="1"/>
    </xf>
    <xf numFmtId="0" fontId="40" fillId="4" borderId="12" xfId="0" applyFont="1" applyFill="1" applyBorder="1" applyAlignment="1" applyProtection="1">
      <alignment horizontal="center" vertical="center" wrapText="1"/>
      <protection hidden="1"/>
    </xf>
    <xf numFmtId="0" fontId="15" fillId="2" borderId="76" xfId="0" applyFont="1" applyFill="1" applyBorder="1" applyAlignment="1" applyProtection="1">
      <alignment horizontal="center" vertical="center" wrapText="1"/>
      <protection hidden="1"/>
    </xf>
    <xf numFmtId="0" fontId="9" fillId="2" borderId="76" xfId="0" applyFont="1" applyFill="1" applyBorder="1" applyAlignment="1" applyProtection="1">
      <alignment horizontal="center" wrapText="1"/>
      <protection hidden="1"/>
    </xf>
    <xf numFmtId="0" fontId="25" fillId="2" borderId="84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Border="1" applyAlignment="1" applyProtection="1">
      <alignment horizontal="left"/>
      <protection hidden="1"/>
    </xf>
    <xf numFmtId="0" fontId="9" fillId="2" borderId="59" xfId="0" applyFont="1" applyFill="1" applyBorder="1" applyAlignment="1" applyProtection="1">
      <alignment horizontal="center" vertical="center" wrapText="1"/>
      <protection hidden="1"/>
    </xf>
    <xf numFmtId="0" fontId="11" fillId="2" borderId="59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44" fillId="9" borderId="54" xfId="0" applyFont="1" applyFill="1" applyBorder="1" applyAlignment="1" applyProtection="1">
      <alignment horizontal="center" vertical="center"/>
      <protection locked="0"/>
    </xf>
    <xf numFmtId="0" fontId="44" fillId="9" borderId="28" xfId="0" applyFont="1" applyFill="1" applyBorder="1" applyAlignment="1" applyProtection="1">
      <alignment horizontal="center" vertical="center"/>
      <protection locked="0"/>
    </xf>
    <xf numFmtId="0" fontId="44" fillId="9" borderId="27" xfId="0" applyFont="1" applyFill="1" applyBorder="1" applyAlignment="1" applyProtection="1">
      <alignment horizontal="center" vertical="center"/>
      <protection locked="0"/>
    </xf>
    <xf numFmtId="1" fontId="44" fillId="9" borderId="101" xfId="0" applyNumberFormat="1" applyFont="1" applyFill="1" applyBorder="1" applyAlignment="1" applyProtection="1">
      <alignment horizontal="center" vertical="center"/>
      <protection locked="0"/>
    </xf>
    <xf numFmtId="0" fontId="44" fillId="9" borderId="14" xfId="0" applyFont="1" applyFill="1" applyBorder="1" applyAlignment="1" applyProtection="1">
      <alignment horizontal="center" vertical="center"/>
      <protection locked="0"/>
    </xf>
    <xf numFmtId="1" fontId="44" fillId="9" borderId="15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protection hidden="1"/>
    </xf>
    <xf numFmtId="165" fontId="6" fillId="0" borderId="14" xfId="0" applyNumberFormat="1" applyFont="1" applyBorder="1" applyAlignment="1" applyProtection="1">
      <alignment horizontal="center" vertical="center" wrapText="1"/>
      <protection locked="0"/>
    </xf>
    <xf numFmtId="165" fontId="6" fillId="0" borderId="19" xfId="0" applyNumberFormat="1" applyFont="1" applyBorder="1" applyAlignment="1" applyProtection="1">
      <alignment horizontal="center" vertical="center" wrapText="1"/>
      <protection locked="0"/>
    </xf>
    <xf numFmtId="0" fontId="55" fillId="4" borderId="100" xfId="0" applyFont="1" applyFill="1" applyBorder="1" applyAlignment="1" applyProtection="1">
      <alignment horizontal="center" vertical="center" wrapText="1"/>
      <protection hidden="1"/>
    </xf>
    <xf numFmtId="0" fontId="55" fillId="4" borderId="27" xfId="0" applyFont="1" applyFill="1" applyBorder="1" applyAlignment="1" applyProtection="1">
      <alignment horizontal="center" vertical="center" wrapText="1"/>
      <protection hidden="1"/>
    </xf>
    <xf numFmtId="172" fontId="4" fillId="0" borderId="1" xfId="0" applyNumberFormat="1" applyFont="1" applyBorder="1" applyAlignment="1" applyProtection="1">
      <alignment horizontal="center" vertical="center" wrapText="1"/>
      <protection hidden="1"/>
    </xf>
    <xf numFmtId="173" fontId="4" fillId="0" borderId="1" xfId="0" applyNumberFormat="1" applyFont="1" applyBorder="1" applyAlignment="1" applyProtection="1">
      <alignment horizontal="center" vertical="center" wrapText="1"/>
      <protection hidden="1"/>
    </xf>
    <xf numFmtId="14" fontId="23" fillId="2" borderId="58" xfId="0" applyNumberFormat="1" applyFont="1" applyFill="1" applyBorder="1" applyAlignment="1" applyProtection="1">
      <alignment horizontal="center" vertical="center" wrapText="1"/>
      <protection hidden="1"/>
    </xf>
    <xf numFmtId="14" fontId="9" fillId="2" borderId="58" xfId="0" applyNumberFormat="1" applyFont="1" applyFill="1" applyBorder="1" applyAlignment="1" applyProtection="1">
      <alignment horizontal="center" vertical="center" wrapText="1"/>
      <protection hidden="1"/>
    </xf>
    <xf numFmtId="165" fontId="64" fillId="0" borderId="1" xfId="0" applyNumberFormat="1" applyFont="1" applyBorder="1" applyAlignment="1" applyProtection="1">
      <alignment horizontal="center" vertical="center" wrapText="1"/>
      <protection hidden="1"/>
    </xf>
    <xf numFmtId="165" fontId="6" fillId="0" borderId="1" xfId="0" applyNumberFormat="1" applyFont="1" applyBorder="1" applyAlignment="1" applyProtection="1">
      <alignment horizontal="center" wrapText="1"/>
      <protection hidden="1"/>
    </xf>
    <xf numFmtId="165" fontId="15" fillId="0" borderId="1" xfId="0" applyNumberFormat="1" applyFont="1" applyBorder="1" applyAlignment="1" applyProtection="1">
      <alignment horizontal="center" vertical="center" wrapText="1"/>
      <protection hidden="1"/>
    </xf>
    <xf numFmtId="165" fontId="15" fillId="0" borderId="1" xfId="0" applyNumberFormat="1" applyFont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2" fillId="0" borderId="2" xfId="0" applyFont="1" applyBorder="1" applyAlignment="1" applyProtection="1">
      <alignment horizontal="right" vertical="center" wrapText="1"/>
      <protection hidden="1"/>
    </xf>
    <xf numFmtId="1" fontId="2" fillId="0" borderId="78" xfId="0" applyNumberFormat="1" applyFont="1" applyBorder="1" applyAlignment="1" applyProtection="1">
      <alignment horizontal="left" vertical="center" wrapText="1"/>
      <protection hidden="1"/>
    </xf>
    <xf numFmtId="0" fontId="33" fillId="3" borderId="119" xfId="0" applyFont="1" applyFill="1" applyBorder="1" applyAlignment="1" applyProtection="1">
      <alignment horizontal="center" vertical="center" wrapText="1"/>
      <protection hidden="1"/>
    </xf>
    <xf numFmtId="0" fontId="33" fillId="3" borderId="68" xfId="0" applyFont="1" applyFill="1" applyBorder="1" applyAlignment="1" applyProtection="1">
      <alignment horizontal="center" wrapText="1"/>
      <protection hidden="1"/>
    </xf>
    <xf numFmtId="0" fontId="30" fillId="3" borderId="116" xfId="0" applyFont="1" applyFill="1" applyBorder="1" applyAlignment="1" applyProtection="1">
      <alignment horizontal="center" wrapText="1"/>
      <protection hidden="1"/>
    </xf>
    <xf numFmtId="171" fontId="90" fillId="6" borderId="117" xfId="0" applyNumberFormat="1" applyFont="1" applyFill="1" applyBorder="1" applyAlignment="1" applyProtection="1">
      <alignment horizontal="center" vertical="center" wrapText="1"/>
      <protection hidden="1"/>
    </xf>
    <xf numFmtId="171" fontId="90" fillId="6" borderId="118" xfId="0" applyNumberFormat="1" applyFont="1" applyFill="1" applyBorder="1" applyAlignment="1" applyProtection="1">
      <alignment horizontal="center" vertical="center" wrapText="1"/>
      <protection hidden="1"/>
    </xf>
    <xf numFmtId="171" fontId="90" fillId="6" borderId="95" xfId="0" applyNumberFormat="1" applyFont="1" applyFill="1" applyBorder="1" applyAlignment="1" applyProtection="1">
      <alignment horizontal="center" vertical="center" wrapText="1"/>
      <protection hidden="1"/>
    </xf>
    <xf numFmtId="171" fontId="90" fillId="6" borderId="89" xfId="0" applyNumberFormat="1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Border="1" applyAlignment="1" applyProtection="1">
      <alignment horizontal="center"/>
      <protection hidden="1"/>
    </xf>
    <xf numFmtId="17" fontId="0" fillId="7" borderId="0" xfId="0" applyNumberFormat="1" applyFill="1" applyAlignment="1" applyProtection="1">
      <alignment horizontal="center" vertical="center"/>
      <protection hidden="1"/>
    </xf>
    <xf numFmtId="14" fontId="0" fillId="7" borderId="0" xfId="0" applyNumberFormat="1" applyFill="1" applyAlignment="1" applyProtection="1">
      <alignment horizontal="center" vertical="center"/>
      <protection hidden="1"/>
    </xf>
    <xf numFmtId="0" fontId="52" fillId="7" borderId="0" xfId="0" applyFont="1" applyFill="1" applyProtection="1">
      <protection hidden="1"/>
    </xf>
    <xf numFmtId="0" fontId="30" fillId="7" borderId="0" xfId="0" applyFont="1" applyFill="1" applyProtection="1"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34" fillId="7" borderId="0" xfId="0" applyFont="1" applyFill="1" applyProtection="1">
      <protection hidden="1"/>
    </xf>
    <xf numFmtId="1" fontId="79" fillId="7" borderId="0" xfId="0" applyNumberFormat="1" applyFont="1" applyFill="1" applyAlignment="1" applyProtection="1">
      <alignment horizontal="center"/>
      <protection hidden="1"/>
    </xf>
    <xf numFmtId="165" fontId="79" fillId="7" borderId="0" xfId="0" applyNumberFormat="1" applyFont="1" applyFill="1" applyAlignment="1" applyProtection="1">
      <alignment horizontal="center"/>
      <protection hidden="1"/>
    </xf>
    <xf numFmtId="165" fontId="0" fillId="7" borderId="0" xfId="0" applyNumberFormat="1" applyFill="1" applyProtection="1">
      <protection hidden="1"/>
    </xf>
    <xf numFmtId="0" fontId="55" fillId="4" borderId="54" xfId="0" applyFont="1" applyFill="1" applyBorder="1" applyAlignment="1" applyProtection="1">
      <alignment horizontal="center" vertical="center" wrapText="1"/>
      <protection hidden="1"/>
    </xf>
    <xf numFmtId="165" fontId="4" fillId="0" borderId="24" xfId="0" applyNumberFormat="1" applyFont="1" applyBorder="1" applyAlignment="1" applyProtection="1">
      <alignment horizontal="center" vertical="center" wrapText="1"/>
      <protection locked="0"/>
    </xf>
    <xf numFmtId="165" fontId="4" fillId="0" borderId="25" xfId="0" applyNumberFormat="1" applyFont="1" applyBorder="1" applyAlignment="1" applyProtection="1">
      <alignment horizontal="center" vertical="center" wrapText="1"/>
      <protection locked="0"/>
    </xf>
    <xf numFmtId="165" fontId="4" fillId="0" borderId="26" xfId="0" applyNumberFormat="1" applyFont="1" applyBorder="1" applyAlignment="1" applyProtection="1">
      <alignment horizontal="center" vertical="center" wrapText="1"/>
      <protection locked="0"/>
    </xf>
    <xf numFmtId="0" fontId="0" fillId="7" borderId="0" xfId="0" applyFill="1" applyBorder="1" applyAlignment="1" applyProtection="1">
      <protection hidden="1"/>
    </xf>
    <xf numFmtId="0" fontId="49" fillId="4" borderId="51" xfId="0" applyFont="1" applyFill="1" applyBorder="1" applyAlignment="1" applyProtection="1">
      <alignment horizontal="center" vertical="center"/>
      <protection hidden="1"/>
    </xf>
    <xf numFmtId="0" fontId="49" fillId="4" borderId="16" xfId="0" applyFont="1" applyFill="1" applyBorder="1" applyAlignment="1" applyProtection="1">
      <alignment horizontal="center" vertical="center"/>
      <protection hidden="1"/>
    </xf>
    <xf numFmtId="167" fontId="44" fillId="9" borderId="25" xfId="0" applyNumberFormat="1" applyFont="1" applyFill="1" applyBorder="1" applyAlignment="1" applyProtection="1">
      <alignment horizontal="center" vertical="center"/>
      <protection locked="0"/>
    </xf>
    <xf numFmtId="174" fontId="44" fillId="9" borderId="25" xfId="0" applyNumberFormat="1" applyFont="1" applyFill="1" applyBorder="1" applyAlignment="1" applyProtection="1">
      <alignment horizontal="center" vertical="center"/>
      <protection locked="0"/>
    </xf>
    <xf numFmtId="0" fontId="50" fillId="8" borderId="47" xfId="0" applyFont="1" applyFill="1" applyBorder="1" applyAlignment="1" applyProtection="1">
      <alignment horizontal="center" vertical="center"/>
      <protection hidden="1"/>
    </xf>
    <xf numFmtId="0" fontId="51" fillId="8" borderId="49" xfId="0" applyFont="1" applyFill="1" applyBorder="1" applyAlignment="1" applyProtection="1">
      <alignment horizontal="center" vertical="center"/>
      <protection hidden="1"/>
    </xf>
    <xf numFmtId="0" fontId="0" fillId="19" borderId="0" xfId="0" applyFill="1" applyProtection="1">
      <protection hidden="1"/>
    </xf>
    <xf numFmtId="0" fontId="3" fillId="0" borderId="0" xfId="0" applyFont="1" applyProtection="1">
      <protection hidden="1"/>
    </xf>
    <xf numFmtId="0" fontId="64" fillId="0" borderId="18" xfId="0" applyFont="1" applyFill="1" applyBorder="1" applyAlignment="1" applyProtection="1">
      <alignment horizontal="center" vertical="center" wrapText="1"/>
      <protection hidden="1"/>
    </xf>
    <xf numFmtId="0" fontId="64" fillId="0" borderId="19" xfId="0" applyFont="1" applyFill="1" applyBorder="1" applyAlignment="1" applyProtection="1">
      <alignment horizontal="center" vertical="center" wrapText="1"/>
      <protection hidden="1"/>
    </xf>
    <xf numFmtId="165" fontId="108" fillId="0" borderId="0" xfId="0" applyNumberFormat="1" applyFont="1" applyProtection="1">
      <protection hidden="1"/>
    </xf>
    <xf numFmtId="0" fontId="108" fillId="0" borderId="0" xfId="0" applyFont="1" applyProtection="1">
      <protection hidden="1"/>
    </xf>
    <xf numFmtId="0" fontId="3" fillId="19" borderId="0" xfId="0" applyFont="1" applyFill="1" applyAlignment="1" applyProtection="1">
      <alignment horizontal="center"/>
      <protection hidden="1"/>
    </xf>
    <xf numFmtId="0" fontId="114" fillId="20" borderId="13" xfId="0" applyFont="1" applyFill="1" applyBorder="1" applyAlignment="1" applyProtection="1">
      <alignment horizontal="center" vertical="center" wrapText="1"/>
      <protection hidden="1"/>
    </xf>
    <xf numFmtId="171" fontId="114" fillId="20" borderId="14" xfId="0" applyNumberFormat="1" applyFont="1" applyFill="1" applyBorder="1" applyAlignment="1" applyProtection="1">
      <alignment horizontal="center" vertical="center" wrapText="1"/>
      <protection hidden="1"/>
    </xf>
    <xf numFmtId="0" fontId="114" fillId="20" borderId="14" xfId="0" applyFont="1" applyFill="1" applyBorder="1" applyAlignment="1" applyProtection="1">
      <alignment horizontal="center" vertical="center" wrapText="1"/>
      <protection hidden="1"/>
    </xf>
    <xf numFmtId="171" fontId="114" fillId="20" borderId="15" xfId="0" applyNumberFormat="1" applyFont="1" applyFill="1" applyBorder="1" applyAlignment="1" applyProtection="1">
      <alignment horizontal="center" vertical="center" wrapText="1"/>
      <protection hidden="1"/>
    </xf>
    <xf numFmtId="0" fontId="109" fillId="20" borderId="16" xfId="0" applyFont="1" applyFill="1" applyBorder="1" applyAlignment="1" applyProtection="1">
      <alignment horizontal="center" vertical="center" wrapText="1"/>
      <protection hidden="1"/>
    </xf>
    <xf numFmtId="171" fontId="109" fillId="20" borderId="12" xfId="0" applyNumberFormat="1" applyFont="1" applyFill="1" applyBorder="1" applyAlignment="1" applyProtection="1">
      <alignment horizontal="center" vertical="center" wrapText="1"/>
      <protection hidden="1"/>
    </xf>
    <xf numFmtId="0" fontId="109" fillId="20" borderId="12" xfId="0" applyFont="1" applyFill="1" applyBorder="1" applyAlignment="1" applyProtection="1">
      <alignment horizontal="center" vertical="center" wrapText="1"/>
      <protection hidden="1"/>
    </xf>
    <xf numFmtId="171" fontId="109" fillId="20" borderId="17" xfId="0" applyNumberFormat="1" applyFont="1" applyFill="1" applyBorder="1" applyAlignment="1" applyProtection="1">
      <alignment horizontal="center" vertical="center" wrapText="1"/>
      <protection hidden="1"/>
    </xf>
    <xf numFmtId="0" fontId="109" fillId="20" borderId="18" xfId="0" applyFont="1" applyFill="1" applyBorder="1" applyAlignment="1" applyProtection="1">
      <alignment horizontal="center" vertical="center" wrapText="1"/>
      <protection hidden="1"/>
    </xf>
    <xf numFmtId="171" fontId="109" fillId="20" borderId="19" xfId="0" applyNumberFormat="1" applyFont="1" applyFill="1" applyBorder="1" applyAlignment="1" applyProtection="1">
      <alignment horizontal="center" vertical="center" wrapText="1"/>
      <protection hidden="1"/>
    </xf>
    <xf numFmtId="0" fontId="109" fillId="20" borderId="19" xfId="0" applyFont="1" applyFill="1" applyBorder="1" applyAlignment="1" applyProtection="1">
      <alignment horizontal="center" vertical="center" wrapText="1"/>
      <protection hidden="1"/>
    </xf>
    <xf numFmtId="171" fontId="109" fillId="20" borderId="20" xfId="0" applyNumberFormat="1" applyFont="1" applyFill="1" applyBorder="1" applyAlignment="1" applyProtection="1">
      <alignment horizontal="center" vertical="center" wrapText="1"/>
      <protection hidden="1"/>
    </xf>
    <xf numFmtId="0" fontId="121" fillId="20" borderId="0" xfId="0" applyFont="1" applyFill="1" applyAlignment="1" applyProtection="1">
      <alignment horizontal="center" vertical="center" wrapText="1"/>
      <protection hidden="1"/>
    </xf>
    <xf numFmtId="0" fontId="0" fillId="4" borderId="0" xfId="0" applyFill="1" applyProtection="1">
      <protection hidden="1"/>
    </xf>
    <xf numFmtId="14" fontId="80" fillId="4" borderId="48" xfId="0" applyNumberFormat="1" applyFont="1" applyFill="1" applyBorder="1" applyAlignment="1" applyProtection="1">
      <alignment horizontal="center" vertical="center" wrapText="1"/>
      <protection hidden="1"/>
    </xf>
    <xf numFmtId="0" fontId="47" fillId="4" borderId="0" xfId="0" applyFont="1" applyFill="1" applyBorder="1" applyAlignment="1" applyProtection="1">
      <alignment horizontal="center" vertical="center" wrapText="1"/>
      <protection hidden="1"/>
    </xf>
    <xf numFmtId="0" fontId="0" fillId="7" borderId="123" xfId="0" applyFill="1" applyBorder="1" applyAlignment="1" applyProtection="1">
      <protection hidden="1"/>
    </xf>
    <xf numFmtId="0" fontId="0" fillId="7" borderId="127" xfId="0" applyFill="1" applyBorder="1" applyAlignment="1" applyProtection="1">
      <protection hidden="1"/>
    </xf>
    <xf numFmtId="0" fontId="0" fillId="7" borderId="128" xfId="0" applyFill="1" applyBorder="1" applyAlignment="1" applyProtection="1">
      <protection hidden="1"/>
    </xf>
    <xf numFmtId="0" fontId="0" fillId="7" borderId="133" xfId="0" applyFill="1" applyBorder="1" applyAlignment="1" applyProtection="1">
      <protection hidden="1"/>
    </xf>
    <xf numFmtId="14" fontId="123" fillId="6" borderId="48" xfId="0" applyNumberFormat="1" applyFont="1" applyFill="1" applyBorder="1" applyAlignment="1" applyProtection="1">
      <alignment horizontal="center" vertical="center" wrapText="1"/>
      <protection locked="0"/>
    </xf>
    <xf numFmtId="14" fontId="123" fillId="6" borderId="1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protection hidden="1"/>
    </xf>
    <xf numFmtId="177" fontId="3" fillId="6" borderId="51" xfId="0" applyNumberFormat="1" applyFont="1" applyFill="1" applyBorder="1" applyAlignment="1" applyProtection="1">
      <alignment horizontal="center" vertical="center" shrinkToFit="1"/>
      <protection hidden="1"/>
    </xf>
    <xf numFmtId="178" fontId="3" fillId="6" borderId="52" xfId="0" applyNumberFormat="1" applyFont="1" applyFill="1" applyBorder="1" applyAlignment="1" applyProtection="1">
      <alignment horizontal="center" vertical="center" wrapText="1"/>
      <protection hidden="1"/>
    </xf>
    <xf numFmtId="178" fontId="3" fillId="6" borderId="42" xfId="0" applyNumberFormat="1" applyFont="1" applyFill="1" applyBorder="1" applyAlignment="1" applyProtection="1">
      <alignment horizontal="center" vertical="center" wrapText="1"/>
      <protection hidden="1"/>
    </xf>
    <xf numFmtId="0" fontId="73" fillId="6" borderId="43" xfId="0" applyFont="1" applyFill="1" applyBorder="1" applyAlignment="1" applyProtection="1">
      <alignment horizontal="center" vertical="center" wrapText="1"/>
      <protection hidden="1"/>
    </xf>
    <xf numFmtId="0" fontId="73" fillId="6" borderId="35" xfId="0" applyFont="1" applyFill="1" applyBorder="1" applyAlignment="1" applyProtection="1">
      <alignment horizontal="center" vertical="center" wrapText="1"/>
      <protection hidden="1"/>
    </xf>
    <xf numFmtId="178" fontId="5" fillId="6" borderId="17" xfId="0" applyNumberFormat="1" applyFont="1" applyFill="1" applyBorder="1" applyAlignment="1" applyProtection="1">
      <alignment horizontal="center" vertical="center" wrapText="1"/>
      <protection hidden="1"/>
    </xf>
    <xf numFmtId="178" fontId="5" fillId="6" borderId="39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35" xfId="0" applyFont="1" applyFill="1" applyBorder="1" applyAlignment="1" applyProtection="1">
      <alignment horizontal="center" vertical="center" wrapText="1"/>
      <protection hidden="1"/>
    </xf>
    <xf numFmtId="178" fontId="5" fillId="6" borderId="101" xfId="0" applyNumberFormat="1" applyFont="1" applyFill="1" applyBorder="1" applyAlignment="1" applyProtection="1">
      <alignment horizontal="center" vertical="center" wrapText="1"/>
      <protection hidden="1"/>
    </xf>
    <xf numFmtId="178" fontId="5" fillId="6" borderId="55" xfId="0" applyNumberFormat="1" applyFont="1" applyFill="1" applyBorder="1" applyAlignment="1" applyProtection="1">
      <alignment horizontal="center" vertical="center" wrapText="1"/>
      <protection hidden="1"/>
    </xf>
    <xf numFmtId="14" fontId="0" fillId="0" borderId="0" xfId="0" applyNumberFormat="1" applyAlignment="1" applyProtection="1">
      <protection hidden="1"/>
    </xf>
    <xf numFmtId="14" fontId="0" fillId="0" borderId="0" xfId="0" applyNumberFormat="1" applyProtection="1">
      <protection hidden="1"/>
    </xf>
    <xf numFmtId="177" fontId="3" fillId="6" borderId="50" xfId="0" applyNumberFormat="1" applyFont="1" applyFill="1" applyBorder="1" applyAlignment="1" applyProtection="1">
      <alignment horizontal="center" vertical="center" shrinkToFit="1"/>
      <protection hidden="1"/>
    </xf>
    <xf numFmtId="0" fontId="7" fillId="6" borderId="132" xfId="0" applyFont="1" applyFill="1" applyBorder="1" applyAlignment="1" applyProtection="1">
      <alignment horizontal="center" vertical="center" wrapText="1"/>
      <protection hidden="1"/>
    </xf>
    <xf numFmtId="173" fontId="4" fillId="21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1" borderId="3" xfId="0" applyFont="1" applyFill="1" applyBorder="1" applyAlignment="1" applyProtection="1">
      <alignment horizontal="center" vertical="center" wrapText="1"/>
      <protection locked="0"/>
    </xf>
    <xf numFmtId="164" fontId="29" fillId="21" borderId="0" xfId="0" applyNumberFormat="1" applyFont="1" applyFill="1" applyBorder="1" applyAlignment="1" applyProtection="1">
      <alignment horizontal="center"/>
      <protection locked="0"/>
    </xf>
    <xf numFmtId="167" fontId="67" fillId="21" borderId="0" xfId="0" applyNumberFormat="1" applyFont="1" applyFill="1" applyBorder="1" applyAlignment="1" applyProtection="1">
      <alignment horizontal="center" vertical="center"/>
      <protection locked="0"/>
    </xf>
    <xf numFmtId="0" fontId="12" fillId="21" borderId="0" xfId="0" applyFont="1" applyFill="1" applyBorder="1" applyAlignment="1" applyProtection="1">
      <alignment horizontal="center"/>
      <protection locked="0"/>
    </xf>
    <xf numFmtId="175" fontId="67" fillId="21" borderId="0" xfId="0" applyNumberFormat="1" applyFont="1" applyFill="1" applyBorder="1" applyAlignment="1" applyProtection="1">
      <alignment horizontal="center" vertical="center"/>
      <protection locked="0"/>
    </xf>
    <xf numFmtId="14" fontId="122" fillId="6" borderId="33" xfId="0" applyNumberFormat="1" applyFont="1" applyFill="1" applyBorder="1" applyAlignment="1" applyProtection="1">
      <alignment horizontal="center" vertical="center" wrapText="1"/>
      <protection hidden="1"/>
    </xf>
    <xf numFmtId="1" fontId="127" fillId="6" borderId="11" xfId="0" applyNumberFormat="1" applyFont="1" applyFill="1" applyBorder="1" applyAlignment="1" applyProtection="1">
      <alignment horizontal="center" vertical="center" wrapText="1"/>
      <protection hidden="1"/>
    </xf>
    <xf numFmtId="165" fontId="127" fillId="6" borderId="11" xfId="0" applyNumberFormat="1" applyFont="1" applyFill="1" applyBorder="1" applyAlignment="1" applyProtection="1">
      <alignment horizontal="center" vertical="center" wrapText="1"/>
      <protection hidden="1"/>
    </xf>
    <xf numFmtId="165" fontId="127" fillId="6" borderId="94" xfId="0" applyNumberFormat="1" applyFont="1" applyFill="1" applyBorder="1" applyAlignment="1" applyProtection="1">
      <alignment horizontal="center" vertical="center" wrapText="1"/>
      <protection hidden="1"/>
    </xf>
    <xf numFmtId="165" fontId="128" fillId="6" borderId="16" xfId="0" applyNumberFormat="1" applyFont="1" applyFill="1" applyBorder="1" applyAlignment="1" applyProtection="1">
      <alignment horizontal="center" vertical="center" wrapText="1"/>
      <protection hidden="1"/>
    </xf>
    <xf numFmtId="165" fontId="128" fillId="6" borderId="12" xfId="0" applyNumberFormat="1" applyFont="1" applyFill="1" applyBorder="1" applyAlignment="1" applyProtection="1">
      <alignment horizontal="center" vertical="center" wrapText="1"/>
      <protection hidden="1"/>
    </xf>
    <xf numFmtId="165" fontId="128" fillId="6" borderId="100" xfId="0" applyNumberFormat="1" applyFont="1" applyFill="1" applyBorder="1" applyAlignment="1" applyProtection="1">
      <alignment horizontal="center" vertical="center" wrapText="1"/>
      <protection hidden="1"/>
    </xf>
    <xf numFmtId="165" fontId="128" fillId="6" borderId="27" xfId="0" applyNumberFormat="1" applyFont="1" applyFill="1" applyBorder="1" applyAlignment="1" applyProtection="1">
      <alignment horizontal="center" vertical="center" wrapText="1"/>
      <protection hidden="1"/>
    </xf>
    <xf numFmtId="165" fontId="128" fillId="6" borderId="19" xfId="0" applyNumberFormat="1" applyFont="1" applyFill="1" applyBorder="1" applyAlignment="1" applyProtection="1">
      <alignment horizontal="center" vertical="center" wrapText="1"/>
      <protection hidden="1"/>
    </xf>
    <xf numFmtId="165" fontId="128" fillId="6" borderId="18" xfId="0" applyNumberFormat="1" applyFont="1" applyFill="1" applyBorder="1" applyAlignment="1" applyProtection="1">
      <alignment horizontal="center" vertical="center" wrapText="1"/>
      <protection hidden="1"/>
    </xf>
    <xf numFmtId="0" fontId="0" fillId="7" borderId="128" xfId="0" applyFill="1" applyBorder="1" applyAlignment="1" applyProtection="1">
      <alignment horizontal="center" vertical="center"/>
      <protection hidden="1"/>
    </xf>
    <xf numFmtId="165" fontId="6" fillId="0" borderId="14" xfId="0" applyNumberFormat="1" applyFont="1" applyBorder="1" applyAlignment="1" applyProtection="1">
      <alignment horizontal="center" vertical="center" wrapText="1"/>
      <protection hidden="1"/>
    </xf>
    <xf numFmtId="165" fontId="6" fillId="0" borderId="12" xfId="0" applyNumberFormat="1" applyFont="1" applyBorder="1" applyAlignment="1" applyProtection="1">
      <alignment horizontal="center" vertical="center" wrapText="1"/>
      <protection hidden="1"/>
    </xf>
    <xf numFmtId="165" fontId="6" fillId="0" borderId="19" xfId="0" applyNumberFormat="1" applyFont="1" applyBorder="1" applyAlignment="1" applyProtection="1">
      <alignment horizontal="center" vertical="center" wrapText="1"/>
      <protection hidden="1"/>
    </xf>
    <xf numFmtId="0" fontId="97" fillId="6" borderId="29" xfId="0" applyFont="1" applyFill="1" applyBorder="1" applyAlignment="1" applyProtection="1">
      <alignment horizontal="center" vertical="center"/>
      <protection locked="0" hidden="1"/>
    </xf>
    <xf numFmtId="0" fontId="49" fillId="4" borderId="29" xfId="0" applyFont="1" applyFill="1" applyBorder="1" applyAlignment="1" applyProtection="1">
      <alignment horizontal="center" vertical="center"/>
      <protection locked="0" hidden="1"/>
    </xf>
    <xf numFmtId="0" fontId="97" fillId="6" borderId="12" xfId="0" applyFont="1" applyFill="1" applyBorder="1" applyAlignment="1" applyProtection="1">
      <alignment horizontal="center" vertical="center"/>
      <protection locked="0" hidden="1"/>
    </xf>
    <xf numFmtId="1" fontId="129" fillId="6" borderId="0" xfId="0" applyNumberFormat="1" applyFont="1" applyFill="1" applyBorder="1" applyAlignment="1" applyProtection="1">
      <alignment horizontal="center"/>
      <protection hidden="1"/>
    </xf>
    <xf numFmtId="167" fontId="67" fillId="21" borderId="0" xfId="0" applyNumberFormat="1" applyFont="1" applyFill="1" applyBorder="1" applyAlignment="1" applyProtection="1">
      <alignment horizontal="center" vertical="center"/>
      <protection locked="0" hidden="1"/>
    </xf>
    <xf numFmtId="0" fontId="72" fillId="21" borderId="2" xfId="0" applyFont="1" applyFill="1" applyBorder="1" applyAlignment="1" applyProtection="1">
      <alignment horizontal="center" vertical="center" wrapText="1"/>
      <protection locked="0"/>
    </xf>
    <xf numFmtId="14" fontId="72" fillId="21" borderId="2" xfId="0" applyNumberFormat="1" applyFont="1" applyFill="1" applyBorder="1" applyAlignment="1" applyProtection="1">
      <alignment horizontal="center" vertical="center" wrapText="1"/>
      <protection locked="0"/>
    </xf>
    <xf numFmtId="0" fontId="50" fillId="8" borderId="48" xfId="0" applyFont="1" applyFill="1" applyBorder="1" applyAlignment="1" applyProtection="1">
      <alignment horizontal="center" vertical="center"/>
      <protection hidden="1"/>
    </xf>
    <xf numFmtId="0" fontId="3" fillId="19" borderId="0" xfId="0" applyFont="1" applyFill="1" applyAlignment="1" applyProtection="1">
      <alignment horizontal="center"/>
      <protection hidden="1"/>
    </xf>
    <xf numFmtId="0" fontId="19" fillId="0" borderId="102" xfId="0" applyFont="1" applyFill="1" applyBorder="1" applyAlignment="1" applyProtection="1">
      <alignment horizontal="center" vertical="center" wrapText="1"/>
      <protection hidden="1"/>
    </xf>
    <xf numFmtId="169" fontId="44" fillId="9" borderId="25" xfId="0" applyNumberFormat="1" applyFont="1" applyFill="1" applyBorder="1" applyAlignment="1" applyProtection="1">
      <alignment horizontal="center" vertical="center"/>
      <protection locked="0"/>
    </xf>
    <xf numFmtId="0" fontId="0" fillId="7" borderId="129" xfId="0" applyFill="1" applyBorder="1" applyAlignment="1" applyProtection="1">
      <protection hidden="1"/>
    </xf>
    <xf numFmtId="14" fontId="0" fillId="7" borderId="0" xfId="0" applyNumberFormat="1" applyFill="1" applyBorder="1" applyAlignment="1" applyProtection="1">
      <alignment vertical="center"/>
      <protection hidden="1"/>
    </xf>
    <xf numFmtId="1" fontId="136" fillId="7" borderId="0" xfId="0" applyNumberFormat="1" applyFont="1" applyFill="1" applyBorder="1" applyAlignment="1" applyProtection="1">
      <alignment vertical="center"/>
      <protection hidden="1"/>
    </xf>
    <xf numFmtId="1" fontId="39" fillId="9" borderId="32" xfId="0" applyNumberFormat="1" applyFont="1" applyFill="1" applyBorder="1" applyAlignment="1" applyProtection="1">
      <alignment horizontal="left" vertical="center" indent="1"/>
      <protection locked="0"/>
    </xf>
    <xf numFmtId="0" fontId="139" fillId="6" borderId="52" xfId="0" applyFont="1" applyFill="1" applyBorder="1" applyAlignment="1" applyProtection="1">
      <alignment horizontal="center" vertical="center" wrapText="1"/>
      <protection locked="0" hidden="1"/>
    </xf>
    <xf numFmtId="0" fontId="50" fillId="4" borderId="19" xfId="0" applyFont="1" applyFill="1" applyBorder="1" applyAlignment="1" applyProtection="1">
      <alignment horizontal="center" vertical="center" wrapText="1"/>
      <protection hidden="1"/>
    </xf>
    <xf numFmtId="0" fontId="50" fillId="4" borderId="20" xfId="0" applyFont="1" applyFill="1" applyBorder="1" applyAlignment="1" applyProtection="1">
      <alignment horizontal="center" vertical="center" wrapText="1"/>
      <protection hidden="1"/>
    </xf>
    <xf numFmtId="0" fontId="127" fillId="7" borderId="0" xfId="0" applyFont="1" applyFill="1" applyAlignment="1" applyProtection="1">
      <alignment vertical="center"/>
      <protection hidden="1"/>
    </xf>
    <xf numFmtId="0" fontId="84" fillId="4" borderId="40" xfId="0" applyFont="1" applyFill="1" applyBorder="1" applyAlignment="1" applyProtection="1">
      <alignment horizontal="center" wrapText="1"/>
      <protection hidden="1"/>
    </xf>
    <xf numFmtId="0" fontId="84" fillId="4" borderId="20" xfId="0" applyFont="1" applyFill="1" applyBorder="1" applyAlignment="1" applyProtection="1">
      <alignment horizontal="center" wrapText="1"/>
      <protection hidden="1"/>
    </xf>
    <xf numFmtId="2" fontId="101" fillId="6" borderId="12" xfId="0" applyNumberFormat="1" applyFont="1" applyFill="1" applyBorder="1" applyAlignment="1" applyProtection="1">
      <alignment horizontal="center" vertical="center" wrapText="1"/>
      <protection hidden="1"/>
    </xf>
    <xf numFmtId="1" fontId="100" fillId="4" borderId="12" xfId="0" applyNumberFormat="1" applyFont="1" applyFill="1" applyBorder="1" applyAlignment="1" applyProtection="1">
      <alignment horizontal="center" vertical="center" wrapText="1"/>
      <protection hidden="1"/>
    </xf>
    <xf numFmtId="0" fontId="84" fillId="4" borderId="13" xfId="0" applyFont="1" applyFill="1" applyBorder="1" applyAlignment="1" applyProtection="1">
      <alignment horizontal="center" vertical="center" wrapText="1"/>
      <protection hidden="1"/>
    </xf>
    <xf numFmtId="0" fontId="84" fillId="4" borderId="14" xfId="0" applyFont="1" applyFill="1" applyBorder="1" applyAlignment="1" applyProtection="1">
      <alignment horizontal="center" vertical="center" wrapText="1"/>
      <protection hidden="1"/>
    </xf>
    <xf numFmtId="0" fontId="84" fillId="4" borderId="16" xfId="0" applyFont="1" applyFill="1" applyBorder="1" applyAlignment="1" applyProtection="1">
      <alignment horizontal="center" vertical="center" wrapText="1"/>
      <protection hidden="1"/>
    </xf>
    <xf numFmtId="0" fontId="84" fillId="4" borderId="12" xfId="0" applyFont="1" applyFill="1" applyBorder="1" applyAlignment="1" applyProtection="1">
      <alignment horizontal="center" vertical="center" wrapText="1"/>
      <protection hidden="1"/>
    </xf>
    <xf numFmtId="0" fontId="84" fillId="4" borderId="18" xfId="0" applyFont="1" applyFill="1" applyBorder="1" applyAlignment="1" applyProtection="1">
      <alignment horizontal="center" vertical="center" wrapText="1"/>
      <protection hidden="1"/>
    </xf>
    <xf numFmtId="0" fontId="84" fillId="4" borderId="19" xfId="0" applyFont="1" applyFill="1" applyBorder="1" applyAlignment="1" applyProtection="1">
      <alignment horizontal="center" vertical="center" wrapText="1"/>
      <protection hidden="1"/>
    </xf>
    <xf numFmtId="0" fontId="124" fillId="4" borderId="100" xfId="0" applyFont="1" applyFill="1" applyBorder="1" applyAlignment="1" applyProtection="1">
      <alignment horizontal="center" vertical="center" wrapText="1"/>
      <protection hidden="1"/>
    </xf>
    <xf numFmtId="0" fontId="124" fillId="4" borderId="27" xfId="0" applyFont="1" applyFill="1" applyBorder="1" applyAlignment="1" applyProtection="1">
      <alignment horizontal="center" vertical="center" wrapText="1"/>
      <protection hidden="1"/>
    </xf>
    <xf numFmtId="165" fontId="124" fillId="4" borderId="27" xfId="0" applyNumberFormat="1" applyFont="1" applyFill="1" applyBorder="1" applyAlignment="1" applyProtection="1">
      <alignment horizontal="center" vertical="center" wrapText="1"/>
      <protection hidden="1"/>
    </xf>
    <xf numFmtId="0" fontId="84" fillId="4" borderId="100" xfId="0" applyFont="1" applyFill="1" applyBorder="1" applyAlignment="1" applyProtection="1">
      <alignment vertical="center"/>
      <protection hidden="1"/>
    </xf>
    <xf numFmtId="0" fontId="125" fillId="4" borderId="27" xfId="0" applyFont="1" applyFill="1" applyBorder="1" applyAlignment="1" applyProtection="1">
      <alignment vertical="center"/>
      <protection hidden="1"/>
    </xf>
    <xf numFmtId="0" fontId="125" fillId="4" borderId="101" xfId="0" applyFont="1" applyFill="1" applyBorder="1" applyAlignment="1" applyProtection="1">
      <alignment vertical="center"/>
      <protection hidden="1"/>
    </xf>
    <xf numFmtId="14" fontId="123" fillId="6" borderId="49" xfId="0" applyNumberFormat="1" applyFont="1" applyFill="1" applyBorder="1" applyAlignment="1" applyProtection="1">
      <alignment horizontal="center" vertical="center" wrapText="1"/>
      <protection locked="0"/>
    </xf>
    <xf numFmtId="0" fontId="55" fillId="4" borderId="101" xfId="0" applyFont="1" applyFill="1" applyBorder="1" applyAlignment="1" applyProtection="1">
      <alignment horizontal="center" vertical="center" wrapText="1"/>
      <protection hidden="1"/>
    </xf>
    <xf numFmtId="0" fontId="0" fillId="7" borderId="126" xfId="0" applyFill="1" applyBorder="1" applyAlignment="1" applyProtection="1">
      <protection hidden="1"/>
    </xf>
    <xf numFmtId="171" fontId="90" fillId="6" borderId="140" xfId="0" applyNumberFormat="1" applyFont="1" applyFill="1" applyBorder="1" applyAlignment="1" applyProtection="1">
      <alignment horizontal="center" vertical="center" wrapText="1"/>
      <protection hidden="1"/>
    </xf>
    <xf numFmtId="171" fontId="90" fillId="6" borderId="115" xfId="0" applyNumberFormat="1" applyFont="1" applyFill="1" applyBorder="1" applyAlignment="1" applyProtection="1">
      <alignment horizontal="center" vertical="center" wrapText="1"/>
      <protection hidden="1"/>
    </xf>
    <xf numFmtId="1" fontId="127" fillId="6" borderId="114" xfId="0" applyNumberFormat="1" applyFont="1" applyFill="1" applyBorder="1" applyAlignment="1" applyProtection="1">
      <alignment horizontal="center" vertical="center" wrapText="1"/>
      <protection hidden="1"/>
    </xf>
    <xf numFmtId="165" fontId="127" fillId="6" borderId="114" xfId="0" applyNumberFormat="1" applyFont="1" applyFill="1" applyBorder="1" applyAlignment="1" applyProtection="1">
      <alignment horizontal="center" vertical="center" wrapText="1"/>
      <protection hidden="1"/>
    </xf>
    <xf numFmtId="165" fontId="127" fillId="6" borderId="141" xfId="0" applyNumberFormat="1" applyFont="1" applyFill="1" applyBorder="1" applyAlignment="1" applyProtection="1">
      <alignment horizontal="center" vertical="center" wrapText="1"/>
      <protection hidden="1"/>
    </xf>
    <xf numFmtId="1" fontId="32" fillId="3" borderId="142" xfId="0" applyNumberFormat="1" applyFont="1" applyFill="1" applyBorder="1" applyAlignment="1" applyProtection="1">
      <alignment horizontal="center" vertical="center"/>
      <protection hidden="1"/>
    </xf>
    <xf numFmtId="165" fontId="32" fillId="3" borderId="142" xfId="0" applyNumberFormat="1" applyFont="1" applyFill="1" applyBorder="1" applyAlignment="1" applyProtection="1">
      <alignment horizontal="center" vertical="center"/>
      <protection hidden="1"/>
    </xf>
    <xf numFmtId="165" fontId="32" fillId="3" borderId="143" xfId="0" applyNumberFormat="1" applyFont="1" applyFill="1" applyBorder="1" applyAlignment="1" applyProtection="1">
      <alignment horizontal="center" vertical="center"/>
      <protection hidden="1"/>
    </xf>
    <xf numFmtId="1" fontId="32" fillId="3" borderId="144" xfId="0" applyNumberFormat="1" applyFont="1" applyFill="1" applyBorder="1" applyAlignment="1" applyProtection="1">
      <alignment horizontal="center" vertical="center"/>
      <protection hidden="1"/>
    </xf>
    <xf numFmtId="1" fontId="32" fillId="3" borderId="145" xfId="0" applyNumberFormat="1" applyFont="1" applyFill="1" applyBorder="1" applyAlignment="1" applyProtection="1">
      <alignment horizontal="center" vertical="center"/>
      <protection hidden="1"/>
    </xf>
    <xf numFmtId="165" fontId="128" fillId="6" borderId="51" xfId="0" applyNumberFormat="1" applyFont="1" applyFill="1" applyBorder="1" applyAlignment="1" applyProtection="1">
      <alignment horizontal="center" vertical="center" wrapText="1"/>
      <protection hidden="1"/>
    </xf>
    <xf numFmtId="165" fontId="128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61" xfId="0" applyFont="1" applyFill="1" applyBorder="1" applyAlignment="1" applyProtection="1">
      <alignment horizontal="center" vertical="center" wrapText="1"/>
      <protection hidden="1"/>
    </xf>
    <xf numFmtId="0" fontId="15" fillId="0" borderId="20" xfId="0" applyFont="1" applyFill="1" applyBorder="1" applyAlignment="1" applyProtection="1">
      <alignment horizontal="center" vertical="center" wrapText="1"/>
      <protection hidden="1"/>
    </xf>
    <xf numFmtId="0" fontId="50" fillId="4" borderId="18" xfId="0" applyFont="1" applyFill="1" applyBorder="1" applyAlignment="1" applyProtection="1">
      <alignment horizontal="center" vertical="center" wrapText="1"/>
      <protection hidden="1"/>
    </xf>
    <xf numFmtId="0" fontId="84" fillId="4" borderId="45" xfId="0" applyFont="1" applyFill="1" applyBorder="1" applyAlignment="1" applyProtection="1">
      <alignment horizontal="center" wrapText="1"/>
      <protection hidden="1"/>
    </xf>
    <xf numFmtId="1" fontId="137" fillId="4" borderId="30" xfId="0" applyNumberFormat="1" applyFont="1" applyFill="1" applyBorder="1" applyAlignment="1" applyProtection="1">
      <alignment vertical="center"/>
      <protection hidden="1"/>
    </xf>
    <xf numFmtId="1" fontId="137" fillId="4" borderId="125" xfId="0" applyNumberFormat="1" applyFont="1" applyFill="1" applyBorder="1" applyAlignment="1" applyProtection="1">
      <alignment horizontal="center" vertical="center"/>
      <protection hidden="1"/>
    </xf>
    <xf numFmtId="165" fontId="137" fillId="4" borderId="125" xfId="0" applyNumberFormat="1" applyFont="1" applyFill="1" applyBorder="1" applyAlignment="1" applyProtection="1">
      <alignment horizontal="center" vertical="center"/>
      <protection hidden="1"/>
    </xf>
    <xf numFmtId="165" fontId="137" fillId="4" borderId="105" xfId="0" applyNumberFormat="1" applyFont="1" applyFill="1" applyBorder="1" applyAlignment="1" applyProtection="1">
      <alignment horizontal="center" vertical="center"/>
      <protection hidden="1"/>
    </xf>
    <xf numFmtId="0" fontId="49" fillId="4" borderId="100" xfId="0" applyFont="1" applyFill="1" applyBorder="1" applyAlignment="1" applyProtection="1">
      <alignment horizontal="center" vertical="center"/>
      <protection hidden="1"/>
    </xf>
    <xf numFmtId="14" fontId="49" fillId="4" borderId="27" xfId="0" applyNumberFormat="1" applyFont="1" applyFill="1" applyBorder="1" applyAlignment="1" applyProtection="1">
      <alignment horizontal="center" vertical="center"/>
      <protection hidden="1"/>
    </xf>
    <xf numFmtId="0" fontId="49" fillId="4" borderId="27" xfId="0" applyFont="1" applyFill="1" applyBorder="1" applyAlignment="1" applyProtection="1">
      <alignment horizontal="center" vertical="center"/>
      <protection hidden="1"/>
    </xf>
    <xf numFmtId="0" fontId="97" fillId="6" borderId="27" xfId="0" applyFont="1" applyFill="1" applyBorder="1" applyAlignment="1" applyProtection="1">
      <alignment horizontal="center" vertical="center"/>
      <protection locked="0" hidden="1"/>
    </xf>
    <xf numFmtId="0" fontId="49" fillId="4" borderId="46" xfId="0" applyFont="1" applyFill="1" applyBorder="1" applyAlignment="1" applyProtection="1">
      <alignment horizontal="center" vertical="center"/>
      <protection locked="0" hidden="1"/>
    </xf>
    <xf numFmtId="0" fontId="139" fillId="6" borderId="139" xfId="0" applyFont="1" applyFill="1" applyBorder="1" applyAlignment="1" applyProtection="1">
      <alignment horizontal="center" vertical="center" wrapText="1"/>
      <protection locked="0" hidden="1"/>
    </xf>
    <xf numFmtId="0" fontId="84" fillId="4" borderId="23" xfId="0" applyFont="1" applyFill="1" applyBorder="1" applyAlignment="1" applyProtection="1">
      <alignment vertical="center"/>
      <protection hidden="1"/>
    </xf>
    <xf numFmtId="0" fontId="125" fillId="4" borderId="19" xfId="0" applyFont="1" applyFill="1" applyBorder="1" applyAlignment="1" applyProtection="1">
      <alignment vertical="center"/>
      <protection hidden="1"/>
    </xf>
    <xf numFmtId="0" fontId="125" fillId="4" borderId="20" xfId="0" applyFont="1" applyFill="1" applyBorder="1" applyAlignment="1" applyProtection="1">
      <alignment vertical="center"/>
      <protection hidden="1"/>
    </xf>
    <xf numFmtId="0" fontId="4" fillId="0" borderId="102" xfId="0" applyFont="1" applyFill="1" applyBorder="1" applyAlignment="1" applyProtection="1">
      <alignment horizontal="center" vertical="center" wrapText="1"/>
      <protection hidden="1"/>
    </xf>
    <xf numFmtId="0" fontId="4" fillId="0" borderId="61" xfId="0" applyFont="1" applyFill="1" applyBorder="1" applyAlignment="1" applyProtection="1">
      <alignment horizontal="center" vertical="center" wrapText="1"/>
      <protection hidden="1"/>
    </xf>
    <xf numFmtId="165" fontId="142" fillId="6" borderId="51" xfId="0" applyNumberFormat="1" applyFont="1" applyFill="1" applyBorder="1" applyAlignment="1" applyProtection="1">
      <alignment horizontal="center" vertical="center" wrapText="1"/>
      <protection hidden="1"/>
    </xf>
    <xf numFmtId="165" fontId="142" fillId="6" borderId="29" xfId="0" applyNumberFormat="1" applyFont="1" applyFill="1" applyBorder="1" applyAlignment="1" applyProtection="1">
      <alignment horizontal="center" vertical="center" wrapText="1"/>
      <protection hidden="1"/>
    </xf>
    <xf numFmtId="165" fontId="142" fillId="6" borderId="16" xfId="0" applyNumberFormat="1" applyFont="1" applyFill="1" applyBorder="1" applyAlignment="1" applyProtection="1">
      <alignment horizontal="center" vertical="center" wrapText="1"/>
      <protection hidden="1"/>
    </xf>
    <xf numFmtId="165" fontId="142" fillId="6" borderId="12" xfId="0" applyNumberFormat="1" applyFont="1" applyFill="1" applyBorder="1" applyAlignment="1" applyProtection="1">
      <alignment horizontal="center" vertical="center" wrapText="1"/>
      <protection hidden="1"/>
    </xf>
    <xf numFmtId="165" fontId="142" fillId="6" borderId="100" xfId="0" applyNumberFormat="1" applyFont="1" applyFill="1" applyBorder="1" applyAlignment="1" applyProtection="1">
      <alignment horizontal="center" vertical="center" wrapText="1"/>
      <protection hidden="1"/>
    </xf>
    <xf numFmtId="165" fontId="142" fillId="6" borderId="1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63" xfId="0" applyFont="1" applyFill="1" applyBorder="1" applyAlignment="1" applyProtection="1">
      <alignment horizontal="center" vertical="center" wrapText="1"/>
      <protection hidden="1"/>
    </xf>
    <xf numFmtId="165" fontId="142" fillId="6" borderId="52" xfId="0" applyNumberFormat="1" applyFont="1" applyFill="1" applyBorder="1" applyAlignment="1" applyProtection="1">
      <alignment horizontal="center" vertical="center" wrapText="1"/>
      <protection hidden="1"/>
    </xf>
    <xf numFmtId="165" fontId="142" fillId="6" borderId="17" xfId="0" applyNumberFormat="1" applyFont="1" applyFill="1" applyBorder="1" applyAlignment="1" applyProtection="1">
      <alignment horizontal="center" vertical="center" wrapText="1"/>
      <protection hidden="1"/>
    </xf>
    <xf numFmtId="165" fontId="142" fillId="6" borderId="18" xfId="0" applyNumberFormat="1" applyFont="1" applyFill="1" applyBorder="1" applyAlignment="1" applyProtection="1">
      <alignment horizontal="center" vertical="center" wrapText="1"/>
      <protection hidden="1"/>
    </xf>
    <xf numFmtId="165" fontId="142" fillId="6" borderId="20" xfId="0" applyNumberFormat="1" applyFont="1" applyFill="1" applyBorder="1" applyAlignment="1" applyProtection="1">
      <alignment horizontal="center" vertical="center" wrapText="1"/>
      <protection hidden="1"/>
    </xf>
    <xf numFmtId="1" fontId="5" fillId="6" borderId="51" xfId="0" applyNumberFormat="1" applyFont="1" applyFill="1" applyBorder="1" applyAlignment="1" applyProtection="1">
      <alignment horizontal="center" vertical="center" wrapText="1"/>
      <protection hidden="1"/>
    </xf>
    <xf numFmtId="1" fontId="67" fillId="6" borderId="29" xfId="0" applyNumberFormat="1" applyFont="1" applyFill="1" applyBorder="1" applyAlignment="1" applyProtection="1">
      <alignment horizontal="center" vertical="center" wrapText="1"/>
      <protection hidden="1"/>
    </xf>
    <xf numFmtId="1" fontId="5" fillId="6" borderId="29" xfId="0" applyNumberFormat="1" applyFont="1" applyFill="1" applyBorder="1" applyAlignment="1" applyProtection="1">
      <alignment horizontal="center" vertical="center" wrapText="1"/>
      <protection hidden="1"/>
    </xf>
    <xf numFmtId="1" fontId="7" fillId="6" borderId="52" xfId="0" applyNumberFormat="1" applyFont="1" applyFill="1" applyBorder="1" applyAlignment="1" applyProtection="1">
      <alignment horizontal="center" vertical="center" wrapText="1"/>
      <protection hidden="1"/>
    </xf>
    <xf numFmtId="1" fontId="5" fillId="6" borderId="16" xfId="0" applyNumberFormat="1" applyFont="1" applyFill="1" applyBorder="1" applyAlignment="1" applyProtection="1">
      <alignment horizontal="center" vertical="center" wrapText="1"/>
      <protection hidden="1"/>
    </xf>
    <xf numFmtId="1" fontId="5" fillId="6" borderId="12" xfId="0" applyNumberFormat="1" applyFont="1" applyFill="1" applyBorder="1" applyAlignment="1" applyProtection="1">
      <alignment horizontal="center" vertical="center" wrapText="1"/>
      <protection hidden="1"/>
    </xf>
    <xf numFmtId="1" fontId="5" fillId="6" borderId="18" xfId="0" applyNumberFormat="1" applyFont="1" applyFill="1" applyBorder="1" applyAlignment="1" applyProtection="1">
      <alignment horizontal="center" vertical="center" wrapText="1"/>
      <protection hidden="1"/>
    </xf>
    <xf numFmtId="1" fontId="5" fillId="6" borderId="19" xfId="0" applyNumberFormat="1" applyFont="1" applyFill="1" applyBorder="1" applyAlignment="1" applyProtection="1">
      <alignment horizontal="center" vertical="center" wrapText="1"/>
      <protection hidden="1"/>
    </xf>
    <xf numFmtId="1" fontId="7" fillId="6" borderId="17" xfId="0" applyNumberFormat="1" applyFont="1" applyFill="1" applyBorder="1" applyAlignment="1" applyProtection="1">
      <alignment horizontal="center" vertical="center" wrapText="1"/>
      <protection hidden="1"/>
    </xf>
    <xf numFmtId="1" fontId="7" fillId="6" borderId="20" xfId="0" applyNumberFormat="1" applyFont="1" applyFill="1" applyBorder="1" applyAlignment="1" applyProtection="1">
      <alignment horizontal="center" vertical="center" wrapText="1"/>
      <protection hidden="1"/>
    </xf>
    <xf numFmtId="177" fontId="92" fillId="6" borderId="24" xfId="0" applyNumberFormat="1" applyFont="1" applyFill="1" applyBorder="1" applyAlignment="1" applyProtection="1">
      <alignment horizontal="center" vertical="center" shrinkToFit="1"/>
      <protection hidden="1"/>
    </xf>
    <xf numFmtId="177" fontId="92" fillId="6" borderId="62" xfId="0" applyNumberFormat="1" applyFont="1" applyFill="1" applyBorder="1" applyAlignment="1" applyProtection="1">
      <alignment horizontal="center" vertical="center" shrinkToFit="1"/>
      <protection hidden="1"/>
    </xf>
    <xf numFmtId="1" fontId="145" fillId="6" borderId="12" xfId="0" applyNumberFormat="1" applyFont="1" applyFill="1" applyBorder="1" applyAlignment="1" applyProtection="1">
      <alignment horizontal="center" vertical="center"/>
      <protection locked="0"/>
    </xf>
    <xf numFmtId="1" fontId="145" fillId="6" borderId="27" xfId="0" applyNumberFormat="1" applyFont="1" applyFill="1" applyBorder="1" applyAlignment="1" applyProtection="1">
      <alignment horizontal="center" vertical="center"/>
      <protection locked="0"/>
    </xf>
    <xf numFmtId="14" fontId="135" fillId="23" borderId="18" xfId="0" applyNumberFormat="1" applyFont="1" applyFill="1" applyBorder="1" applyAlignment="1" applyProtection="1">
      <alignment horizontal="center" vertical="center"/>
      <protection hidden="1"/>
    </xf>
    <xf numFmtId="14" fontId="135" fillId="23" borderId="23" xfId="0" applyNumberFormat="1" applyFont="1" applyFill="1" applyBorder="1" applyAlignment="1" applyProtection="1">
      <alignment horizontal="center" vertical="center"/>
      <protection hidden="1"/>
    </xf>
    <xf numFmtId="14" fontId="135" fillId="23" borderId="19" xfId="0" applyNumberFormat="1" applyFont="1" applyFill="1" applyBorder="1" applyAlignment="1" applyProtection="1">
      <alignment horizontal="center" vertical="center"/>
      <protection hidden="1"/>
    </xf>
    <xf numFmtId="14" fontId="135" fillId="23" borderId="20" xfId="0" applyNumberFormat="1" applyFont="1" applyFill="1" applyBorder="1" applyAlignment="1" applyProtection="1">
      <alignment horizontal="center" vertical="center"/>
      <protection hidden="1"/>
    </xf>
    <xf numFmtId="1" fontId="145" fillId="6" borderId="14" xfId="0" applyNumberFormat="1" applyFont="1" applyFill="1" applyBorder="1" applyAlignment="1" applyProtection="1">
      <alignment horizontal="center" vertical="center"/>
      <protection locked="0"/>
    </xf>
    <xf numFmtId="1" fontId="135" fillId="23" borderId="15" xfId="0" applyNumberFormat="1" applyFont="1" applyFill="1" applyBorder="1" applyAlignment="1" applyProtection="1">
      <alignment horizontal="center" vertical="center"/>
      <protection hidden="1"/>
    </xf>
    <xf numFmtId="1" fontId="135" fillId="23" borderId="17" xfId="0" applyNumberFormat="1" applyFont="1" applyFill="1" applyBorder="1" applyAlignment="1" applyProtection="1">
      <alignment horizontal="center" vertical="center"/>
      <protection hidden="1"/>
    </xf>
    <xf numFmtId="0" fontId="146" fillId="23" borderId="13" xfId="0" applyFont="1" applyFill="1" applyBorder="1" applyAlignment="1" applyProtection="1">
      <alignment horizontal="center" vertical="center"/>
      <protection hidden="1"/>
    </xf>
    <xf numFmtId="0" fontId="146" fillId="23" borderId="16" xfId="0" applyFont="1" applyFill="1" applyBorder="1" applyAlignment="1" applyProtection="1">
      <alignment horizontal="center" vertical="center"/>
      <protection hidden="1"/>
    </xf>
    <xf numFmtId="0" fontId="146" fillId="23" borderId="100" xfId="0" applyFont="1" applyFill="1" applyBorder="1" applyAlignment="1" applyProtection="1">
      <alignment horizontal="center" vertical="center"/>
      <protection hidden="1"/>
    </xf>
    <xf numFmtId="1" fontId="135" fillId="23" borderId="101" xfId="0" applyNumberFormat="1" applyFont="1" applyFill="1" applyBorder="1" applyAlignment="1" applyProtection="1">
      <alignment horizontal="center" vertical="center"/>
      <protection hidden="1"/>
    </xf>
    <xf numFmtId="0" fontId="144" fillId="23" borderId="103" xfId="0" applyFont="1" applyFill="1" applyBorder="1" applyAlignment="1" applyProtection="1">
      <alignment horizontal="center" vertical="center"/>
      <protection hidden="1"/>
    </xf>
    <xf numFmtId="1" fontId="144" fillId="23" borderId="104" xfId="0" applyNumberFormat="1" applyFont="1" applyFill="1" applyBorder="1" applyAlignment="1" applyProtection="1">
      <alignment horizontal="center" vertical="center"/>
      <protection hidden="1"/>
    </xf>
    <xf numFmtId="1" fontId="144" fillId="23" borderId="105" xfId="0" applyNumberFormat="1" applyFont="1" applyFill="1" applyBorder="1" applyAlignment="1" applyProtection="1">
      <alignment horizontal="center" vertical="center"/>
      <protection hidden="1"/>
    </xf>
    <xf numFmtId="0" fontId="34" fillId="7" borderId="0" xfId="0" applyFont="1" applyFill="1" applyAlignment="1" applyProtection="1">
      <alignment horizontal="center"/>
      <protection hidden="1"/>
    </xf>
    <xf numFmtId="0" fontId="58" fillId="4" borderId="31" xfId="0" applyFont="1" applyFill="1" applyBorder="1" applyAlignment="1" applyProtection="1">
      <alignment horizontal="center" vertical="center"/>
      <protection hidden="1"/>
    </xf>
    <xf numFmtId="0" fontId="34" fillId="7" borderId="0" xfId="0" applyFont="1" applyFill="1" applyAlignment="1" applyProtection="1">
      <alignment horizontal="center" vertical="center"/>
      <protection hidden="1"/>
    </xf>
    <xf numFmtId="0" fontId="0" fillId="19" borderId="0" xfId="0" applyFill="1" applyBorder="1" applyAlignment="1" applyProtection="1">
      <alignment horizontal="center"/>
      <protection hidden="1"/>
    </xf>
    <xf numFmtId="0" fontId="148" fillId="4" borderId="19" xfId="0" applyFont="1" applyFill="1" applyBorder="1" applyAlignment="1" applyProtection="1">
      <alignment horizontal="center" vertical="center" wrapText="1"/>
      <protection hidden="1"/>
    </xf>
    <xf numFmtId="0" fontId="48" fillId="4" borderId="19" xfId="0" applyFont="1" applyFill="1" applyBorder="1" applyAlignment="1" applyProtection="1">
      <alignment horizontal="center" vertical="center" wrapText="1"/>
      <protection hidden="1"/>
    </xf>
    <xf numFmtId="176" fontId="152" fillId="24" borderId="15" xfId="0" applyNumberFormat="1" applyFont="1" applyFill="1" applyBorder="1" applyAlignment="1" applyProtection="1">
      <alignment vertical="center"/>
      <protection hidden="1"/>
    </xf>
    <xf numFmtId="176" fontId="152" fillId="24" borderId="17" xfId="0" applyNumberFormat="1" applyFont="1" applyFill="1" applyBorder="1" applyAlignment="1" applyProtection="1">
      <alignment horizontal="center" vertical="center"/>
      <protection hidden="1"/>
    </xf>
    <xf numFmtId="176" fontId="152" fillId="24" borderId="20" xfId="0" applyNumberFormat="1" applyFont="1" applyFill="1" applyBorder="1" applyAlignment="1" applyProtection="1">
      <alignment horizontal="center" vertical="center"/>
      <protection hidden="1"/>
    </xf>
    <xf numFmtId="0" fontId="153" fillId="24" borderId="13" xfId="0" applyFont="1" applyFill="1" applyBorder="1" applyAlignment="1" applyProtection="1">
      <alignment horizontal="center" vertical="center"/>
      <protection hidden="1"/>
    </xf>
    <xf numFmtId="0" fontId="153" fillId="24" borderId="14" xfId="0" applyFont="1" applyFill="1" applyBorder="1" applyAlignment="1" applyProtection="1">
      <alignment horizontal="center" vertical="center"/>
      <protection hidden="1"/>
    </xf>
    <xf numFmtId="0" fontId="152" fillId="24" borderId="15" xfId="0" applyFont="1" applyFill="1" applyBorder="1" applyAlignment="1" applyProtection="1">
      <alignment horizontal="center" vertical="center"/>
      <protection hidden="1"/>
    </xf>
    <xf numFmtId="0" fontId="151" fillId="24" borderId="34" xfId="0" applyFont="1" applyFill="1" applyBorder="1" applyAlignment="1" applyProtection="1">
      <alignment horizontal="center" vertical="center"/>
      <protection hidden="1"/>
    </xf>
    <xf numFmtId="1" fontId="151" fillId="24" borderId="18" xfId="0" applyNumberFormat="1" applyFont="1" applyFill="1" applyBorder="1" applyAlignment="1" applyProtection="1">
      <alignment horizontal="center" vertical="center"/>
      <protection hidden="1"/>
    </xf>
    <xf numFmtId="1" fontId="151" fillId="24" borderId="19" xfId="0" applyNumberFormat="1" applyFont="1" applyFill="1" applyBorder="1" applyAlignment="1" applyProtection="1">
      <alignment horizontal="center" vertical="center"/>
      <protection hidden="1"/>
    </xf>
    <xf numFmtId="1" fontId="143" fillId="24" borderId="20" xfId="0" applyNumberFormat="1" applyFont="1" applyFill="1" applyBorder="1" applyAlignment="1" applyProtection="1">
      <alignment horizontal="center" vertical="center"/>
      <protection hidden="1"/>
    </xf>
    <xf numFmtId="1" fontId="143" fillId="24" borderId="135" xfId="0" applyNumberFormat="1" applyFont="1" applyFill="1" applyBorder="1" applyAlignment="1" applyProtection="1">
      <alignment horizontal="center" vertical="center"/>
      <protection hidden="1"/>
    </xf>
    <xf numFmtId="0" fontId="155" fillId="0" borderId="12" xfId="0" applyFont="1" applyFill="1" applyBorder="1" applyAlignment="1" applyProtection="1">
      <alignment horizontal="center" vertical="center" wrapText="1"/>
      <protection hidden="1"/>
    </xf>
    <xf numFmtId="0" fontId="84" fillId="4" borderId="103" xfId="0" applyFont="1" applyFill="1" applyBorder="1" applyAlignment="1" applyProtection="1">
      <alignment horizontal="center" wrapText="1"/>
      <protection hidden="1"/>
    </xf>
    <xf numFmtId="1" fontId="137" fillId="4" borderId="125" xfId="0" applyNumberFormat="1" applyFont="1" applyFill="1" applyBorder="1" applyAlignment="1" applyProtection="1">
      <alignment vertical="center"/>
      <protection hidden="1"/>
    </xf>
    <xf numFmtId="165" fontId="108" fillId="0" borderId="0" xfId="0" applyNumberFormat="1" applyFont="1" applyAlignment="1" applyProtection="1">
      <protection hidden="1"/>
    </xf>
    <xf numFmtId="0" fontId="108" fillId="0" borderId="0" xfId="0" applyFont="1" applyAlignment="1" applyProtection="1">
      <protection hidden="1"/>
    </xf>
    <xf numFmtId="177" fontId="101" fillId="6" borderId="16" xfId="0" applyNumberFormat="1" applyFont="1" applyFill="1" applyBorder="1" applyAlignment="1" applyProtection="1">
      <alignment horizontal="center" vertical="center" shrinkToFit="1"/>
      <protection hidden="1"/>
    </xf>
    <xf numFmtId="177" fontId="101" fillId="6" borderId="18" xfId="0" applyNumberFormat="1" applyFont="1" applyFill="1" applyBorder="1" applyAlignment="1" applyProtection="1">
      <alignment horizontal="center" vertical="center" shrinkToFit="1"/>
      <protection hidden="1"/>
    </xf>
    <xf numFmtId="177" fontId="101" fillId="6" borderId="13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17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20" xfId="0" applyNumberFormat="1" applyFont="1" applyFill="1" applyBorder="1" applyAlignment="1" applyProtection="1">
      <alignment horizontal="center" vertical="center" shrinkToFit="1"/>
      <protection hidden="1"/>
    </xf>
    <xf numFmtId="165" fontId="98" fillId="6" borderId="13" xfId="0" applyNumberFormat="1" applyFont="1" applyFill="1" applyBorder="1" applyAlignment="1" applyProtection="1">
      <alignment horizontal="center" vertical="center" wrapText="1" shrinkToFit="1"/>
      <protection hidden="1"/>
    </xf>
    <xf numFmtId="165" fontId="98" fillId="6" borderId="16" xfId="0" applyNumberFormat="1" applyFont="1" applyFill="1" applyBorder="1" applyAlignment="1" applyProtection="1">
      <alignment horizontal="center" vertical="center" wrapText="1" shrinkToFit="1"/>
      <protection hidden="1"/>
    </xf>
    <xf numFmtId="165" fontId="98" fillId="6" borderId="18" xfId="0" applyNumberFormat="1" applyFont="1" applyFill="1" applyBorder="1" applyAlignment="1" applyProtection="1">
      <alignment horizontal="center" vertical="center" wrapText="1" shrinkToFit="1"/>
      <protection hidden="1"/>
    </xf>
    <xf numFmtId="165" fontId="153" fillId="6" borderId="16" xfId="0" applyNumberFormat="1" applyFont="1" applyFill="1" applyBorder="1" applyAlignment="1" applyProtection="1">
      <alignment horizontal="center" vertical="center" wrapText="1" shrinkToFit="1"/>
      <protection hidden="1"/>
    </xf>
    <xf numFmtId="1" fontId="101" fillId="6" borderId="14" xfId="0" applyNumberFormat="1" applyFont="1" applyFill="1" applyBorder="1" applyAlignment="1" applyProtection="1">
      <alignment horizontal="center" vertical="center" wrapText="1" shrinkToFit="1"/>
      <protection locked="0"/>
    </xf>
    <xf numFmtId="165" fontId="143" fillId="6" borderId="14" xfId="0" applyNumberFormat="1" applyFont="1" applyFill="1" applyBorder="1" applyAlignment="1" applyProtection="1">
      <alignment horizontal="center" vertical="center" shrinkToFit="1"/>
      <protection locked="0"/>
    </xf>
    <xf numFmtId="1" fontId="101" fillId="6" borderId="12" xfId="0" applyNumberFormat="1" applyFont="1" applyFill="1" applyBorder="1" applyAlignment="1" applyProtection="1">
      <alignment horizontal="center" vertical="center" wrapText="1" shrinkToFit="1"/>
      <protection locked="0"/>
    </xf>
    <xf numFmtId="165" fontId="143" fillId="6" borderId="12" xfId="0" applyNumberFormat="1" applyFont="1" applyFill="1" applyBorder="1" applyAlignment="1" applyProtection="1">
      <alignment horizontal="center" vertical="center" shrinkToFit="1"/>
      <protection locked="0"/>
    </xf>
    <xf numFmtId="1" fontId="101" fillId="6" borderId="19" xfId="0" applyNumberFormat="1" applyFont="1" applyFill="1" applyBorder="1" applyAlignment="1" applyProtection="1">
      <alignment horizontal="center" vertical="center" wrapText="1" shrinkToFit="1"/>
      <protection locked="0"/>
    </xf>
    <xf numFmtId="165" fontId="143" fillId="6" borderId="19" xfId="0" applyNumberFormat="1" applyFont="1" applyFill="1" applyBorder="1" applyAlignment="1" applyProtection="1">
      <alignment horizontal="center" vertical="center" shrinkToFit="1"/>
      <protection locked="0"/>
    </xf>
    <xf numFmtId="1" fontId="143" fillId="6" borderId="15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14" xfId="0" applyNumberFormat="1" applyFont="1" applyFill="1" applyBorder="1" applyAlignment="1" applyProtection="1">
      <alignment horizontal="center" vertical="center" shrinkToFit="1"/>
      <protection locked="0"/>
    </xf>
    <xf numFmtId="1" fontId="143" fillId="6" borderId="12" xfId="0" applyNumberFormat="1" applyFont="1" applyFill="1" applyBorder="1" applyAlignment="1" applyProtection="1">
      <alignment horizontal="center" vertical="center" shrinkToFit="1"/>
      <protection locked="0"/>
    </xf>
    <xf numFmtId="1" fontId="143" fillId="6" borderId="19" xfId="0" applyNumberFormat="1" applyFont="1" applyFill="1" applyBorder="1" applyAlignment="1" applyProtection="1">
      <alignment horizontal="center" vertical="center" shrinkToFit="1"/>
      <protection locked="0"/>
    </xf>
    <xf numFmtId="0" fontId="98" fillId="0" borderId="27" xfId="0" applyFont="1" applyFill="1" applyBorder="1" applyAlignment="1" applyProtection="1">
      <alignment horizontal="center" vertical="center" wrapText="1"/>
      <protection hidden="1"/>
    </xf>
    <xf numFmtId="1" fontId="147" fillId="6" borderId="14" xfId="0" applyNumberFormat="1" applyFont="1" applyFill="1" applyBorder="1" applyAlignment="1" applyProtection="1">
      <alignment horizontal="center" vertical="center" shrinkToFit="1"/>
      <protection hidden="1"/>
    </xf>
    <xf numFmtId="1" fontId="113" fillId="6" borderId="14" xfId="0" applyNumberFormat="1" applyFont="1" applyFill="1" applyBorder="1" applyAlignment="1" applyProtection="1">
      <alignment horizontal="center" vertical="center" wrapText="1"/>
      <protection hidden="1"/>
    </xf>
    <xf numFmtId="1" fontId="147" fillId="6" borderId="19" xfId="0" applyNumberFormat="1" applyFont="1" applyFill="1" applyBorder="1" applyAlignment="1" applyProtection="1">
      <alignment horizontal="center" vertical="center" shrinkToFit="1"/>
      <protection hidden="1"/>
    </xf>
    <xf numFmtId="1" fontId="113" fillId="6" borderId="19" xfId="0" applyNumberFormat="1" applyFont="1" applyFill="1" applyBorder="1" applyAlignment="1" applyProtection="1">
      <alignment horizontal="center" vertical="center" wrapText="1"/>
      <protection hidden="1"/>
    </xf>
    <xf numFmtId="165" fontId="159" fillId="6" borderId="14" xfId="0" applyNumberFormat="1" applyFont="1" applyFill="1" applyBorder="1" applyAlignment="1" applyProtection="1">
      <alignment horizontal="center" vertical="center" wrapText="1"/>
      <protection hidden="1"/>
    </xf>
    <xf numFmtId="165" fontId="158" fillId="6" borderId="14" xfId="0" applyNumberFormat="1" applyFont="1" applyFill="1" applyBorder="1" applyAlignment="1" applyProtection="1">
      <alignment horizontal="center" vertical="center" wrapText="1"/>
      <protection hidden="1"/>
    </xf>
    <xf numFmtId="165" fontId="159" fillId="6" borderId="19" xfId="0" applyNumberFormat="1" applyFont="1" applyFill="1" applyBorder="1" applyAlignment="1" applyProtection="1">
      <alignment horizontal="center" vertical="center" wrapText="1"/>
      <protection hidden="1"/>
    </xf>
    <xf numFmtId="165" fontId="158" fillId="6" borderId="19" xfId="0" applyNumberFormat="1" applyFont="1" applyFill="1" applyBorder="1" applyAlignment="1" applyProtection="1">
      <alignment horizontal="center" vertical="center" wrapText="1"/>
      <protection hidden="1"/>
    </xf>
    <xf numFmtId="176" fontId="167" fillId="0" borderId="33" xfId="0" applyNumberFormat="1" applyFont="1" applyBorder="1" applyAlignment="1" applyProtection="1">
      <protection hidden="1"/>
    </xf>
    <xf numFmtId="176" fontId="167" fillId="0" borderId="37" xfId="0" applyNumberFormat="1" applyFont="1" applyBorder="1" applyAlignment="1" applyProtection="1">
      <protection hidden="1"/>
    </xf>
    <xf numFmtId="176" fontId="162" fillId="24" borderId="123" xfId="0" applyNumberFormat="1" applyFont="1" applyFill="1" applyBorder="1" applyAlignment="1" applyProtection="1">
      <alignment vertical="center" wrapText="1"/>
      <protection hidden="1"/>
    </xf>
    <xf numFmtId="176" fontId="162" fillId="24" borderId="0" xfId="0" applyNumberFormat="1" applyFont="1" applyFill="1" applyBorder="1" applyAlignment="1" applyProtection="1">
      <alignment vertical="center" wrapText="1"/>
      <protection hidden="1"/>
    </xf>
    <xf numFmtId="176" fontId="162" fillId="24" borderId="126" xfId="0" applyNumberFormat="1" applyFont="1" applyFill="1" applyBorder="1" applyAlignment="1" applyProtection="1">
      <alignment vertical="center" wrapText="1"/>
      <protection hidden="1"/>
    </xf>
    <xf numFmtId="176" fontId="167" fillId="0" borderId="123" xfId="0" applyNumberFormat="1" applyFont="1" applyBorder="1" applyAlignment="1" applyProtection="1">
      <protection hidden="1"/>
    </xf>
    <xf numFmtId="176" fontId="167" fillId="0" borderId="0" xfId="0" applyNumberFormat="1" applyFont="1" applyBorder="1" applyAlignment="1" applyProtection="1">
      <protection hidden="1"/>
    </xf>
    <xf numFmtId="176" fontId="167" fillId="0" borderId="126" xfId="0" applyNumberFormat="1" applyFont="1" applyBorder="1" applyAlignment="1" applyProtection="1">
      <protection hidden="1"/>
    </xf>
    <xf numFmtId="176" fontId="150" fillId="0" borderId="123" xfId="0" applyNumberFormat="1" applyFont="1" applyBorder="1" applyAlignment="1" applyProtection="1">
      <alignment vertical="top" wrapText="1"/>
      <protection hidden="1"/>
    </xf>
    <xf numFmtId="176" fontId="150" fillId="0" borderId="0" xfId="0" applyNumberFormat="1" applyFont="1" applyBorder="1" applyAlignment="1" applyProtection="1">
      <alignment vertical="top" wrapText="1"/>
      <protection hidden="1"/>
    </xf>
    <xf numFmtId="176" fontId="150" fillId="0" borderId="126" xfId="0" applyNumberFormat="1" applyFont="1" applyBorder="1" applyAlignment="1" applyProtection="1">
      <alignment vertical="top" wrapText="1"/>
      <protection hidden="1"/>
    </xf>
    <xf numFmtId="176" fontId="162" fillId="24" borderId="137" xfId="0" applyNumberFormat="1" applyFont="1" applyFill="1" applyBorder="1" applyAlignment="1" applyProtection="1">
      <alignment vertical="center" wrapText="1"/>
      <protection hidden="1"/>
    </xf>
    <xf numFmtId="176" fontId="162" fillId="24" borderId="42" xfId="0" applyNumberFormat="1" applyFont="1" applyFill="1" applyBorder="1" applyAlignment="1" applyProtection="1">
      <alignment vertical="center" wrapText="1"/>
      <protection hidden="1"/>
    </xf>
    <xf numFmtId="176" fontId="162" fillId="24" borderId="43" xfId="0" applyNumberFormat="1" applyFont="1" applyFill="1" applyBorder="1" applyAlignment="1" applyProtection="1">
      <alignment vertical="center" wrapText="1"/>
      <protection hidden="1"/>
    </xf>
    <xf numFmtId="2" fontId="141" fillId="6" borderId="12" xfId="0" applyNumberFormat="1" applyFont="1" applyFill="1" applyBorder="1" applyAlignment="1" applyProtection="1">
      <alignment horizontal="center" vertical="center" wrapText="1"/>
      <protection locked="0"/>
    </xf>
    <xf numFmtId="2" fontId="101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49" fillId="4" borderId="56" xfId="0" applyFont="1" applyFill="1" applyBorder="1" applyAlignment="1" applyProtection="1">
      <alignment horizontal="center" vertical="center"/>
      <protection hidden="1"/>
    </xf>
    <xf numFmtId="1" fontId="34" fillId="6" borderId="51" xfId="0" applyNumberFormat="1" applyFont="1" applyFill="1" applyBorder="1" applyAlignment="1" applyProtection="1">
      <alignment horizontal="center" vertical="center"/>
      <protection hidden="1"/>
    </xf>
    <xf numFmtId="1" fontId="34" fillId="6" borderId="29" xfId="0" applyNumberFormat="1" applyFont="1" applyFill="1" applyBorder="1" applyAlignment="1" applyProtection="1">
      <alignment horizontal="center" vertical="center"/>
      <protection hidden="1"/>
    </xf>
    <xf numFmtId="1" fontId="34" fillId="6" borderId="52" xfId="0" applyNumberFormat="1" applyFont="1" applyFill="1" applyBorder="1" applyAlignment="1" applyProtection="1">
      <alignment horizontal="center" vertical="center"/>
      <protection hidden="1"/>
    </xf>
    <xf numFmtId="0" fontId="34" fillId="6" borderId="29" xfId="0" applyFont="1" applyFill="1" applyBorder="1" applyAlignment="1" applyProtection="1">
      <alignment horizontal="center" vertical="center"/>
      <protection hidden="1"/>
    </xf>
    <xf numFmtId="0" fontId="34" fillId="6" borderId="52" xfId="0" applyFont="1" applyFill="1" applyBorder="1" applyAlignment="1" applyProtection="1">
      <alignment horizontal="center" vertical="center"/>
      <protection hidden="1"/>
    </xf>
    <xf numFmtId="1" fontId="34" fillId="6" borderId="16" xfId="0" applyNumberFormat="1" applyFont="1" applyFill="1" applyBorder="1" applyAlignment="1" applyProtection="1">
      <alignment horizontal="center" vertical="center"/>
      <protection hidden="1"/>
    </xf>
    <xf numFmtId="1" fontId="34" fillId="6" borderId="12" xfId="0" applyNumberFormat="1" applyFont="1" applyFill="1" applyBorder="1" applyAlignment="1" applyProtection="1">
      <alignment horizontal="center" vertical="center"/>
      <protection hidden="1"/>
    </xf>
    <xf numFmtId="165" fontId="124" fillId="4" borderId="54" xfId="0" applyNumberFormat="1" applyFont="1" applyFill="1" applyBorder="1" applyAlignment="1" applyProtection="1">
      <alignment horizontal="center" vertical="center" wrapText="1"/>
      <protection hidden="1"/>
    </xf>
    <xf numFmtId="0" fontId="49" fillId="4" borderId="46" xfId="0" applyFont="1" applyFill="1" applyBorder="1" applyAlignment="1" applyProtection="1">
      <alignment horizontal="center" vertical="center"/>
      <protection hidden="1"/>
    </xf>
    <xf numFmtId="0" fontId="49" fillId="4" borderId="122" xfId="0" applyFont="1" applyFill="1" applyBorder="1" applyAlignment="1" applyProtection="1">
      <alignment horizontal="center" vertical="center"/>
      <protection hidden="1"/>
    </xf>
    <xf numFmtId="1" fontId="34" fillId="6" borderId="18" xfId="0" applyNumberFormat="1" applyFont="1" applyFill="1" applyBorder="1" applyAlignment="1" applyProtection="1">
      <alignment horizontal="center" vertical="center"/>
      <protection hidden="1"/>
    </xf>
    <xf numFmtId="1" fontId="34" fillId="6" borderId="19" xfId="0" applyNumberFormat="1" applyFont="1" applyFill="1" applyBorder="1" applyAlignment="1" applyProtection="1">
      <alignment horizontal="center" vertical="center"/>
      <protection hidden="1"/>
    </xf>
    <xf numFmtId="1" fontId="34" fillId="6" borderId="20" xfId="0" applyNumberFormat="1" applyFont="1" applyFill="1" applyBorder="1" applyAlignment="1" applyProtection="1">
      <alignment horizontal="center" vertical="center"/>
      <protection hidden="1"/>
    </xf>
    <xf numFmtId="0" fontId="34" fillId="6" borderId="61" xfId="0" applyFont="1" applyFill="1" applyBorder="1" applyAlignment="1" applyProtection="1">
      <alignment horizontal="center" vertical="center"/>
      <protection hidden="1"/>
    </xf>
    <xf numFmtId="0" fontId="34" fillId="6" borderId="63" xfId="0" applyFont="1" applyFill="1" applyBorder="1" applyAlignment="1" applyProtection="1">
      <alignment horizontal="center" vertical="center"/>
      <protection hidden="1"/>
    </xf>
    <xf numFmtId="0" fontId="34" fillId="6" borderId="51" xfId="0" applyFont="1" applyFill="1" applyBorder="1" applyAlignment="1" applyProtection="1">
      <alignment horizontal="center" vertical="center"/>
      <protection locked="0"/>
    </xf>
    <xf numFmtId="0" fontId="34" fillId="6" borderId="29" xfId="0" applyFont="1" applyFill="1" applyBorder="1" applyAlignment="1" applyProtection="1">
      <alignment horizontal="center" vertical="center"/>
      <protection locked="0"/>
    </xf>
    <xf numFmtId="0" fontId="34" fillId="6" borderId="16" xfId="0" applyFont="1" applyFill="1" applyBorder="1" applyAlignment="1" applyProtection="1">
      <alignment horizontal="center" vertical="center"/>
      <protection locked="0"/>
    </xf>
    <xf numFmtId="0" fontId="34" fillId="6" borderId="12" xfId="0" applyFont="1" applyFill="1" applyBorder="1" applyAlignment="1" applyProtection="1">
      <alignment horizontal="center" vertical="center"/>
      <protection locked="0"/>
    </xf>
    <xf numFmtId="0" fontId="34" fillId="6" borderId="18" xfId="0" applyFont="1" applyFill="1" applyBorder="1" applyAlignment="1" applyProtection="1">
      <alignment horizontal="center" vertical="center"/>
      <protection locked="0"/>
    </xf>
    <xf numFmtId="0" fontId="34" fillId="6" borderId="19" xfId="0" applyFont="1" applyFill="1" applyBorder="1" applyAlignment="1" applyProtection="1">
      <alignment horizontal="center" vertical="center"/>
      <protection locked="0"/>
    </xf>
    <xf numFmtId="165" fontId="32" fillId="6" borderId="51" xfId="0" applyNumberFormat="1" applyFont="1" applyFill="1" applyBorder="1" applyAlignment="1" applyProtection="1">
      <alignment horizontal="center" vertical="center"/>
      <protection locked="0"/>
    </xf>
    <xf numFmtId="165" fontId="32" fillId="6" borderId="52" xfId="0" applyNumberFormat="1" applyFont="1" applyFill="1" applyBorder="1" applyAlignment="1" applyProtection="1">
      <alignment horizontal="center" vertical="center"/>
      <protection locked="0"/>
    </xf>
    <xf numFmtId="165" fontId="32" fillId="6" borderId="16" xfId="0" applyNumberFormat="1" applyFont="1" applyFill="1" applyBorder="1" applyAlignment="1" applyProtection="1">
      <alignment horizontal="center" vertical="center"/>
      <protection locked="0"/>
    </xf>
    <xf numFmtId="165" fontId="32" fillId="6" borderId="17" xfId="0" applyNumberFormat="1" applyFont="1" applyFill="1" applyBorder="1" applyAlignment="1" applyProtection="1">
      <alignment horizontal="center" vertical="center"/>
      <protection locked="0"/>
    </xf>
    <xf numFmtId="165" fontId="32" fillId="6" borderId="18" xfId="0" applyNumberFormat="1" applyFont="1" applyFill="1" applyBorder="1" applyAlignment="1" applyProtection="1">
      <alignment horizontal="center" vertical="center"/>
      <protection locked="0"/>
    </xf>
    <xf numFmtId="165" fontId="32" fillId="6" borderId="20" xfId="0" applyNumberFormat="1" applyFont="1" applyFill="1" applyBorder="1" applyAlignment="1" applyProtection="1">
      <alignment horizontal="center" vertical="center"/>
      <protection locked="0"/>
    </xf>
    <xf numFmtId="0" fontId="44" fillId="9" borderId="13" xfId="0" applyFont="1" applyFill="1" applyBorder="1" applyAlignment="1" applyProtection="1">
      <alignment horizontal="center" vertical="center"/>
      <protection hidden="1"/>
    </xf>
    <xf numFmtId="0" fontId="44" fillId="9" borderId="16" xfId="0" applyFont="1" applyFill="1" applyBorder="1" applyAlignment="1" applyProtection="1">
      <alignment horizontal="center" vertical="center"/>
      <protection hidden="1"/>
    </xf>
    <xf numFmtId="0" fontId="44" fillId="9" borderId="18" xfId="0" applyFont="1" applyFill="1" applyBorder="1" applyAlignment="1" applyProtection="1">
      <alignment horizontal="center" vertical="center"/>
      <protection hidden="1"/>
    </xf>
    <xf numFmtId="0" fontId="47" fillId="8" borderId="45" xfId="0" applyFont="1" applyFill="1" applyBorder="1" applyAlignment="1" applyProtection="1">
      <alignment horizontal="center" vertical="center" wrapText="1"/>
      <protection hidden="1"/>
    </xf>
    <xf numFmtId="0" fontId="41" fillId="8" borderId="45" xfId="0" applyFont="1" applyFill="1" applyBorder="1" applyAlignment="1" applyProtection="1">
      <alignment horizontal="center" vertical="center" wrapText="1"/>
      <protection hidden="1"/>
    </xf>
    <xf numFmtId="1" fontId="34" fillId="6" borderId="146" xfId="0" applyNumberFormat="1" applyFont="1" applyFill="1" applyBorder="1" applyAlignment="1" applyProtection="1">
      <alignment horizontal="center" vertical="center"/>
      <protection hidden="1"/>
    </xf>
    <xf numFmtId="0" fontId="149" fillId="6" borderId="29" xfId="0" applyFont="1" applyFill="1" applyBorder="1" applyAlignment="1" applyProtection="1">
      <alignment horizontal="center" vertical="center"/>
      <protection hidden="1"/>
    </xf>
    <xf numFmtId="1" fontId="149" fillId="6" borderId="29" xfId="0" applyNumberFormat="1" applyFont="1" applyFill="1" applyBorder="1" applyAlignment="1" applyProtection="1">
      <alignment horizontal="center" vertical="center"/>
      <protection hidden="1"/>
    </xf>
    <xf numFmtId="1" fontId="34" fillId="6" borderId="27" xfId="0" applyNumberFormat="1" applyFont="1" applyFill="1" applyBorder="1" applyAlignment="1" applyProtection="1">
      <alignment horizontal="center" vertical="center"/>
      <protection hidden="1"/>
    </xf>
    <xf numFmtId="1" fontId="149" fillId="6" borderId="46" xfId="0" applyNumberFormat="1" applyFont="1" applyFill="1" applyBorder="1" applyAlignment="1" applyProtection="1">
      <alignment horizontal="center" vertical="center"/>
      <protection hidden="1"/>
    </xf>
    <xf numFmtId="0" fontId="149" fillId="6" borderId="46" xfId="0" applyFont="1" applyFill="1" applyBorder="1" applyAlignment="1" applyProtection="1">
      <alignment horizontal="center" vertical="center"/>
      <protection hidden="1"/>
    </xf>
    <xf numFmtId="0" fontId="34" fillId="6" borderId="46" xfId="0" applyFont="1" applyFill="1" applyBorder="1" applyAlignment="1" applyProtection="1">
      <alignment horizontal="center" vertical="center"/>
      <protection locked="0"/>
    </xf>
    <xf numFmtId="165" fontId="32" fillId="6" borderId="29" xfId="0" applyNumberFormat="1" applyFont="1" applyFill="1" applyBorder="1" applyAlignment="1" applyProtection="1">
      <alignment horizontal="center" vertical="center"/>
      <protection locked="0"/>
    </xf>
    <xf numFmtId="165" fontId="127" fillId="6" borderId="51" xfId="0" applyNumberFormat="1" applyFont="1" applyFill="1" applyBorder="1" applyAlignment="1" applyProtection="1">
      <alignment horizontal="center" vertical="center"/>
      <protection locked="0"/>
    </xf>
    <xf numFmtId="165" fontId="32" fillId="6" borderId="12" xfId="0" applyNumberFormat="1" applyFont="1" applyFill="1" applyBorder="1" applyAlignment="1" applyProtection="1">
      <alignment horizontal="center" vertical="center"/>
      <protection locked="0"/>
    </xf>
    <xf numFmtId="165" fontId="32" fillId="6" borderId="27" xfId="0" applyNumberFormat="1" applyFont="1" applyFill="1" applyBorder="1" applyAlignment="1" applyProtection="1">
      <alignment horizontal="center" vertical="center"/>
      <protection locked="0"/>
    </xf>
    <xf numFmtId="165" fontId="32" fillId="6" borderId="100" xfId="0" applyNumberFormat="1" applyFont="1" applyFill="1" applyBorder="1" applyAlignment="1" applyProtection="1">
      <alignment horizontal="center" vertical="center"/>
      <protection locked="0"/>
    </xf>
    <xf numFmtId="165" fontId="32" fillId="6" borderId="101" xfId="0" applyNumberFormat="1" applyFont="1" applyFill="1" applyBorder="1" applyAlignment="1" applyProtection="1">
      <alignment horizontal="center" vertical="center"/>
      <protection locked="0"/>
    </xf>
    <xf numFmtId="1" fontId="99" fillId="6" borderId="61" xfId="0" applyNumberFormat="1" applyFont="1" applyFill="1" applyBorder="1" applyAlignment="1" applyProtection="1">
      <alignment horizontal="center" vertical="center" textRotation="90" shrinkToFit="1"/>
      <protection hidden="1"/>
    </xf>
    <xf numFmtId="165" fontId="99" fillId="6" borderId="61" xfId="0" applyNumberFormat="1" applyFont="1" applyFill="1" applyBorder="1" applyAlignment="1" applyProtection="1">
      <alignment horizontal="center" vertical="center" textRotation="90" shrinkToFit="1"/>
      <protection hidden="1"/>
    </xf>
    <xf numFmtId="1" fontId="161" fillId="6" borderId="61" xfId="0" applyNumberFormat="1" applyFont="1" applyFill="1" applyBorder="1" applyAlignment="1" applyProtection="1">
      <alignment horizontal="center" vertical="center" wrapText="1" shrinkToFit="1"/>
      <protection hidden="1"/>
    </xf>
    <xf numFmtId="0" fontId="151" fillId="6" borderId="63" xfId="0" applyFont="1" applyFill="1" applyBorder="1" applyAlignment="1" applyProtection="1">
      <alignment horizontal="center" vertical="center" wrapText="1"/>
      <protection hidden="1"/>
    </xf>
    <xf numFmtId="1" fontId="147" fillId="24" borderId="14" xfId="0" applyNumberFormat="1" applyFont="1" applyFill="1" applyBorder="1" applyAlignment="1" applyProtection="1">
      <alignment horizontal="center" vertical="center" shrinkToFit="1"/>
      <protection hidden="1"/>
    </xf>
    <xf numFmtId="1" fontId="113" fillId="24" borderId="14" xfId="0" applyNumberFormat="1" applyFont="1" applyFill="1" applyBorder="1" applyAlignment="1" applyProtection="1">
      <alignment horizontal="center" vertical="center" wrapText="1"/>
      <protection hidden="1"/>
    </xf>
    <xf numFmtId="165" fontId="159" fillId="24" borderId="14" xfId="0" applyNumberFormat="1" applyFont="1" applyFill="1" applyBorder="1" applyAlignment="1" applyProtection="1">
      <alignment horizontal="center" vertical="center" wrapText="1"/>
      <protection hidden="1"/>
    </xf>
    <xf numFmtId="165" fontId="158" fillId="24" borderId="14" xfId="0" applyNumberFormat="1" applyFont="1" applyFill="1" applyBorder="1" applyAlignment="1" applyProtection="1">
      <alignment horizontal="center" vertical="center" wrapText="1"/>
      <protection hidden="1"/>
    </xf>
    <xf numFmtId="1" fontId="147" fillId="24" borderId="19" xfId="0" applyNumberFormat="1" applyFont="1" applyFill="1" applyBorder="1" applyAlignment="1" applyProtection="1">
      <alignment horizontal="center" vertical="center" shrinkToFit="1"/>
      <protection hidden="1"/>
    </xf>
    <xf numFmtId="1" fontId="113" fillId="24" borderId="19" xfId="0" applyNumberFormat="1" applyFont="1" applyFill="1" applyBorder="1" applyAlignment="1" applyProtection="1">
      <alignment horizontal="center" vertical="center" wrapText="1"/>
      <protection hidden="1"/>
    </xf>
    <xf numFmtId="165" fontId="159" fillId="24" borderId="19" xfId="0" applyNumberFormat="1" applyFont="1" applyFill="1" applyBorder="1" applyAlignment="1" applyProtection="1">
      <alignment horizontal="center" vertical="center" wrapText="1"/>
      <protection hidden="1"/>
    </xf>
    <xf numFmtId="165" fontId="158" fillId="24" borderId="19" xfId="0" applyNumberFormat="1" applyFont="1" applyFill="1" applyBorder="1" applyAlignment="1" applyProtection="1">
      <alignment horizontal="center" vertical="center" wrapText="1"/>
      <protection hidden="1"/>
    </xf>
    <xf numFmtId="179" fontId="102" fillId="24" borderId="40" xfId="0" applyNumberFormat="1" applyFont="1" applyFill="1" applyBorder="1" applyAlignment="1" applyProtection="1">
      <alignment horizontal="center" vertical="center"/>
      <protection locked="0"/>
    </xf>
    <xf numFmtId="0" fontId="109" fillId="20" borderId="123" xfId="0" applyFont="1" applyFill="1" applyBorder="1" applyAlignment="1" applyProtection="1">
      <alignment horizontal="justify" vertical="justify" wrapText="1"/>
      <protection hidden="1"/>
    </xf>
    <xf numFmtId="0" fontId="109" fillId="20" borderId="0" xfId="0" applyFont="1" applyFill="1" applyBorder="1" applyAlignment="1" applyProtection="1">
      <alignment horizontal="justify" vertical="justify" wrapText="1"/>
      <protection hidden="1"/>
    </xf>
    <xf numFmtId="0" fontId="109" fillId="20" borderId="126" xfId="0" applyFont="1" applyFill="1" applyBorder="1" applyAlignment="1" applyProtection="1">
      <alignment horizontal="justify" vertical="justify" wrapText="1"/>
      <protection hidden="1"/>
    </xf>
    <xf numFmtId="0" fontId="115" fillId="20" borderId="30" xfId="0" applyFont="1" applyFill="1" applyBorder="1" applyAlignment="1" applyProtection="1">
      <alignment horizontal="center" vertical="center"/>
      <protection hidden="1"/>
    </xf>
    <xf numFmtId="0" fontId="115" fillId="20" borderId="31" xfId="0" applyFont="1" applyFill="1" applyBorder="1" applyAlignment="1" applyProtection="1">
      <alignment horizontal="center" vertical="center"/>
      <protection hidden="1"/>
    </xf>
    <xf numFmtId="0" fontId="115" fillId="20" borderId="32" xfId="0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33" xfId="0" applyFill="1" applyBorder="1" applyAlignment="1" applyProtection="1">
      <alignment horizontal="center"/>
      <protection hidden="1"/>
    </xf>
    <xf numFmtId="0" fontId="0" fillId="4" borderId="69" xfId="0" applyFill="1" applyBorder="1" applyAlignment="1" applyProtection="1">
      <alignment horizontal="center"/>
      <protection hidden="1"/>
    </xf>
    <xf numFmtId="0" fontId="120" fillId="20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11" fillId="20" borderId="30" xfId="0" applyFont="1" applyFill="1" applyBorder="1" applyAlignment="1" applyProtection="1">
      <alignment horizontal="center" vertical="center"/>
      <protection hidden="1"/>
    </xf>
    <xf numFmtId="0" fontId="111" fillId="20" borderId="31" xfId="0" applyFont="1" applyFill="1" applyBorder="1" applyAlignment="1" applyProtection="1">
      <alignment horizontal="center" vertical="center"/>
      <protection hidden="1"/>
    </xf>
    <xf numFmtId="0" fontId="111" fillId="20" borderId="32" xfId="0" applyFont="1" applyFill="1" applyBorder="1" applyAlignment="1" applyProtection="1">
      <alignment horizontal="center" vertical="center"/>
      <protection hidden="1"/>
    </xf>
    <xf numFmtId="0" fontId="112" fillId="20" borderId="36" xfId="0" applyFont="1" applyFill="1" applyBorder="1" applyAlignment="1" applyProtection="1">
      <alignment horizontal="justify" vertical="justify" wrapText="1"/>
      <protection hidden="1"/>
    </xf>
    <xf numFmtId="0" fontId="112" fillId="20" borderId="33" xfId="0" applyFont="1" applyFill="1" applyBorder="1" applyAlignment="1" applyProtection="1">
      <alignment horizontal="justify" vertical="justify" wrapText="1"/>
      <protection hidden="1"/>
    </xf>
    <xf numFmtId="0" fontId="112" fillId="20" borderId="37" xfId="0" applyFont="1" applyFill="1" applyBorder="1" applyAlignment="1" applyProtection="1">
      <alignment horizontal="justify" vertical="justify" wrapText="1"/>
      <protection hidden="1"/>
    </xf>
    <xf numFmtId="0" fontId="112" fillId="20" borderId="123" xfId="0" applyFont="1" applyFill="1" applyBorder="1" applyAlignment="1" applyProtection="1">
      <alignment horizontal="justify" vertical="justify" wrapText="1"/>
      <protection hidden="1"/>
    </xf>
    <xf numFmtId="0" fontId="112" fillId="20" borderId="0" xfId="0" applyFont="1" applyFill="1" applyBorder="1" applyAlignment="1" applyProtection="1">
      <alignment horizontal="justify" vertical="justify" wrapText="1"/>
      <protection hidden="1"/>
    </xf>
    <xf numFmtId="0" fontId="112" fillId="20" borderId="126" xfId="0" applyFont="1" applyFill="1" applyBorder="1" applyAlignment="1" applyProtection="1">
      <alignment horizontal="justify" vertical="justify" wrapText="1"/>
      <protection hidden="1"/>
    </xf>
    <xf numFmtId="0" fontId="112" fillId="20" borderId="127" xfId="0" applyFont="1" applyFill="1" applyBorder="1" applyAlignment="1" applyProtection="1">
      <alignment horizontal="justify" vertical="justify" wrapText="1"/>
      <protection hidden="1"/>
    </xf>
    <xf numFmtId="0" fontId="112" fillId="20" borderId="128" xfId="0" applyFont="1" applyFill="1" applyBorder="1" applyAlignment="1" applyProtection="1">
      <alignment horizontal="justify" vertical="justify" wrapText="1"/>
      <protection hidden="1"/>
    </xf>
    <xf numFmtId="0" fontId="112" fillId="20" borderId="129" xfId="0" applyFont="1" applyFill="1" applyBorder="1" applyAlignment="1" applyProtection="1">
      <alignment horizontal="justify" vertical="justify" wrapText="1"/>
      <protection hidden="1"/>
    </xf>
    <xf numFmtId="0" fontId="110" fillId="20" borderId="123" xfId="0" applyFont="1" applyFill="1" applyBorder="1" applyAlignment="1" applyProtection="1">
      <alignment horizontal="justify" vertical="justify" wrapText="1"/>
      <protection hidden="1"/>
    </xf>
    <xf numFmtId="0" fontId="110" fillId="20" borderId="0" xfId="0" applyFont="1" applyFill="1" applyBorder="1" applyAlignment="1" applyProtection="1">
      <alignment horizontal="justify" vertical="justify" wrapText="1"/>
      <protection hidden="1"/>
    </xf>
    <xf numFmtId="0" fontId="110" fillId="20" borderId="126" xfId="0" applyFont="1" applyFill="1" applyBorder="1" applyAlignment="1" applyProtection="1">
      <alignment horizontal="justify" vertical="justify" wrapText="1"/>
      <protection hidden="1"/>
    </xf>
    <xf numFmtId="0" fontId="110" fillId="20" borderId="127" xfId="0" applyFont="1" applyFill="1" applyBorder="1" applyAlignment="1" applyProtection="1">
      <alignment horizontal="justify" vertical="justify" wrapText="1"/>
      <protection hidden="1"/>
    </xf>
    <xf numFmtId="0" fontId="110" fillId="20" borderId="128" xfId="0" applyFont="1" applyFill="1" applyBorder="1" applyAlignment="1" applyProtection="1">
      <alignment horizontal="justify" vertical="justify" wrapText="1"/>
      <protection hidden="1"/>
    </xf>
    <xf numFmtId="0" fontId="110" fillId="20" borderId="129" xfId="0" applyFont="1" applyFill="1" applyBorder="1" applyAlignment="1" applyProtection="1">
      <alignment horizontal="justify" vertical="justify" wrapText="1"/>
      <protection hidden="1"/>
    </xf>
    <xf numFmtId="0" fontId="111" fillId="20" borderId="30" xfId="0" applyFont="1" applyFill="1" applyBorder="1" applyAlignment="1" applyProtection="1">
      <alignment horizontal="center" vertical="center" wrapText="1"/>
      <protection hidden="1"/>
    </xf>
    <xf numFmtId="0" fontId="111" fillId="20" borderId="31" xfId="0" applyFont="1" applyFill="1" applyBorder="1" applyAlignment="1" applyProtection="1">
      <alignment horizontal="center" vertical="center" wrapText="1"/>
      <protection hidden="1"/>
    </xf>
    <xf numFmtId="0" fontId="111" fillId="20" borderId="32" xfId="0" applyFont="1" applyFill="1" applyBorder="1" applyAlignment="1" applyProtection="1">
      <alignment horizontal="center" vertical="center" wrapText="1"/>
      <protection hidden="1"/>
    </xf>
    <xf numFmtId="0" fontId="110" fillId="20" borderId="36" xfId="0" applyFont="1" applyFill="1" applyBorder="1" applyAlignment="1" applyProtection="1">
      <alignment horizontal="justify" vertical="justify" wrapText="1"/>
      <protection hidden="1"/>
    </xf>
    <xf numFmtId="0" fontId="110" fillId="20" borderId="33" xfId="0" applyFont="1" applyFill="1" applyBorder="1" applyAlignment="1" applyProtection="1">
      <alignment horizontal="justify" vertical="justify" wrapText="1"/>
      <protection hidden="1"/>
    </xf>
    <xf numFmtId="0" fontId="110" fillId="20" borderId="37" xfId="0" applyFont="1" applyFill="1" applyBorder="1" applyAlignment="1" applyProtection="1">
      <alignment horizontal="justify" vertical="justify" wrapText="1"/>
      <protection hidden="1"/>
    </xf>
    <xf numFmtId="0" fontId="41" fillId="8" borderId="25" xfId="0" applyFont="1" applyFill="1" applyBorder="1" applyAlignment="1" applyProtection="1">
      <alignment horizontal="center" vertical="center"/>
      <protection hidden="1"/>
    </xf>
    <xf numFmtId="0" fontId="41" fillId="8" borderId="39" xfId="0" applyFont="1" applyFill="1" applyBorder="1" applyAlignment="1" applyProtection="1">
      <alignment horizontal="center" vertical="center"/>
      <protection hidden="1"/>
    </xf>
    <xf numFmtId="0" fontId="41" fillId="8" borderId="22" xfId="0" applyFont="1" applyFill="1" applyBorder="1" applyAlignment="1" applyProtection="1">
      <alignment horizontal="center" vertical="center"/>
      <protection hidden="1"/>
    </xf>
    <xf numFmtId="0" fontId="52" fillId="7" borderId="0" xfId="0" applyFont="1" applyFill="1" applyBorder="1" applyAlignment="1" applyProtection="1">
      <alignment horizontal="center"/>
      <protection hidden="1"/>
    </xf>
    <xf numFmtId="0" fontId="42" fillId="8" borderId="44" xfId="0" applyFont="1" applyFill="1" applyBorder="1" applyAlignment="1" applyProtection="1">
      <alignment horizontal="center" vertical="center" wrapText="1"/>
      <protection hidden="1"/>
    </xf>
    <xf numFmtId="0" fontId="42" fillId="8" borderId="22" xfId="0" applyFont="1" applyFill="1" applyBorder="1" applyAlignment="1" applyProtection="1">
      <alignment horizontal="center" vertical="center" wrapText="1"/>
      <protection hidden="1"/>
    </xf>
    <xf numFmtId="1" fontId="44" fillId="9" borderId="25" xfId="0" applyNumberFormat="1" applyFont="1" applyFill="1" applyBorder="1" applyAlignment="1" applyProtection="1">
      <alignment horizontal="center" vertical="center" wrapText="1"/>
      <protection locked="0"/>
    </xf>
    <xf numFmtId="1" fontId="44" fillId="9" borderId="39" xfId="0" applyNumberFormat="1" applyFont="1" applyFill="1" applyBorder="1" applyAlignment="1" applyProtection="1">
      <alignment horizontal="center" vertical="center" wrapText="1"/>
      <protection locked="0"/>
    </xf>
    <xf numFmtId="0" fontId="42" fillId="8" borderId="39" xfId="0" applyFont="1" applyFill="1" applyBorder="1" applyAlignment="1" applyProtection="1">
      <alignment horizontal="center" vertical="center" wrapText="1"/>
      <protection hidden="1"/>
    </xf>
    <xf numFmtId="49" fontId="17" fillId="9" borderId="25" xfId="0" applyNumberFormat="1" applyFont="1" applyFill="1" applyBorder="1" applyAlignment="1" applyProtection="1">
      <alignment horizontal="center" wrapText="1"/>
      <protection locked="0"/>
    </xf>
    <xf numFmtId="49" fontId="17" fillId="9" borderId="39" xfId="0" applyNumberFormat="1" applyFont="1" applyFill="1" applyBorder="1" applyAlignment="1" applyProtection="1">
      <alignment horizontal="center" wrapText="1"/>
      <protection locked="0"/>
    </xf>
    <xf numFmtId="49" fontId="17" fillId="9" borderId="35" xfId="0" applyNumberFormat="1" applyFont="1" applyFill="1" applyBorder="1" applyAlignment="1" applyProtection="1">
      <alignment horizontal="center" wrapText="1"/>
      <protection locked="0"/>
    </xf>
    <xf numFmtId="49" fontId="17" fillId="9" borderId="25" xfId="0" applyNumberFormat="1" applyFont="1" applyFill="1" applyBorder="1" applyAlignment="1" applyProtection="1">
      <alignment horizontal="center" vertical="center" wrapText="1"/>
      <protection locked="0"/>
    </xf>
    <xf numFmtId="49" fontId="17" fillId="9" borderId="39" xfId="0" applyNumberFormat="1" applyFont="1" applyFill="1" applyBorder="1" applyAlignment="1" applyProtection="1">
      <alignment horizontal="center" vertical="center" wrapText="1"/>
      <protection locked="0"/>
    </xf>
    <xf numFmtId="49" fontId="17" fillId="9" borderId="35" xfId="0" applyNumberFormat="1" applyFont="1" applyFill="1" applyBorder="1" applyAlignment="1" applyProtection="1">
      <alignment horizontal="center" vertical="center" wrapText="1"/>
      <protection locked="0"/>
    </xf>
    <xf numFmtId="0" fontId="44" fillId="9" borderId="26" xfId="0" applyFont="1" applyFill="1" applyBorder="1" applyAlignment="1" applyProtection="1">
      <alignment horizontal="center" vertical="center" wrapText="1"/>
      <protection locked="0"/>
    </xf>
    <xf numFmtId="0" fontId="44" fillId="9" borderId="40" xfId="0" applyFont="1" applyFill="1" applyBorder="1" applyAlignment="1" applyProtection="1">
      <alignment horizontal="center" vertical="center" wrapText="1"/>
      <protection locked="0"/>
    </xf>
    <xf numFmtId="49" fontId="42" fillId="8" borderId="44" xfId="0" applyNumberFormat="1" applyFont="1" applyFill="1" applyBorder="1" applyAlignment="1" applyProtection="1">
      <alignment horizontal="center" vertical="top" wrapText="1"/>
      <protection hidden="1"/>
    </xf>
    <xf numFmtId="49" fontId="42" fillId="8" borderId="22" xfId="0" applyNumberFormat="1" applyFont="1" applyFill="1" applyBorder="1" applyAlignment="1" applyProtection="1">
      <alignment horizontal="center" vertical="top" wrapText="1"/>
      <protection hidden="1"/>
    </xf>
    <xf numFmtId="0" fontId="44" fillId="9" borderId="24" xfId="0" applyFont="1" applyFill="1" applyBorder="1" applyAlignment="1" applyProtection="1">
      <alignment horizontal="center" vertical="center"/>
      <protection locked="0"/>
    </xf>
    <xf numFmtId="0" fontId="44" fillId="9" borderId="21" xfId="0" applyFont="1" applyFill="1" applyBorder="1" applyAlignment="1" applyProtection="1">
      <alignment horizontal="center" vertical="center"/>
      <protection locked="0"/>
    </xf>
    <xf numFmtId="0" fontId="119" fillId="8" borderId="45" xfId="0" applyFont="1" applyFill="1" applyBorder="1" applyAlignment="1" applyProtection="1">
      <alignment horizontal="center" vertical="center" wrapText="1"/>
      <protection hidden="1"/>
    </xf>
    <xf numFmtId="0" fontId="119" fillId="8" borderId="23" xfId="0" applyFont="1" applyFill="1" applyBorder="1" applyAlignment="1" applyProtection="1">
      <alignment horizontal="center" vertical="center" wrapText="1"/>
      <protection hidden="1"/>
    </xf>
    <xf numFmtId="0" fontId="30" fillId="7" borderId="33" xfId="0" applyFont="1" applyFill="1" applyBorder="1" applyAlignment="1" applyProtection="1">
      <alignment horizontal="center"/>
      <protection hidden="1"/>
    </xf>
    <xf numFmtId="0" fontId="50" fillId="8" borderId="125" xfId="0" applyFont="1" applyFill="1" applyBorder="1" applyAlignment="1" applyProtection="1">
      <alignment horizontal="center" vertical="center"/>
      <protection hidden="1"/>
    </xf>
    <xf numFmtId="0" fontId="50" fillId="8" borderId="131" xfId="0" applyFont="1" applyFill="1" applyBorder="1" applyAlignment="1" applyProtection="1">
      <alignment horizontal="center" vertical="center"/>
      <protection hidden="1"/>
    </xf>
    <xf numFmtId="0" fontId="45" fillId="8" borderId="36" xfId="0" applyFont="1" applyFill="1" applyBorder="1" applyAlignment="1" applyProtection="1">
      <alignment horizontal="center"/>
      <protection hidden="1"/>
    </xf>
    <xf numFmtId="0" fontId="45" fillId="8" borderId="33" xfId="0" applyFont="1" applyFill="1" applyBorder="1" applyAlignment="1" applyProtection="1">
      <alignment horizontal="center"/>
      <protection hidden="1"/>
    </xf>
    <xf numFmtId="0" fontId="45" fillId="8" borderId="37" xfId="0" applyFont="1" applyFill="1" applyBorder="1" applyAlignment="1" applyProtection="1">
      <alignment horizontal="center"/>
      <protection hidden="1"/>
    </xf>
    <xf numFmtId="0" fontId="45" fillId="8" borderId="127" xfId="0" applyFont="1" applyFill="1" applyBorder="1" applyAlignment="1" applyProtection="1">
      <alignment horizontal="center"/>
      <protection hidden="1"/>
    </xf>
    <xf numFmtId="0" fontId="45" fillId="8" borderId="128" xfId="0" applyFont="1" applyFill="1" applyBorder="1" applyAlignment="1" applyProtection="1">
      <alignment horizontal="center"/>
      <protection hidden="1"/>
    </xf>
    <xf numFmtId="0" fontId="45" fillId="8" borderId="129" xfId="0" applyFont="1" applyFill="1" applyBorder="1" applyAlignment="1" applyProtection="1">
      <alignment horizontal="center"/>
      <protection hidden="1"/>
    </xf>
    <xf numFmtId="0" fontId="50" fillId="8" borderId="38" xfId="0" applyFont="1" applyFill="1" applyBorder="1" applyAlignment="1" applyProtection="1">
      <alignment horizontal="center" vertical="center" wrapText="1"/>
      <protection hidden="1"/>
    </xf>
    <xf numFmtId="0" fontId="50" fillId="8" borderId="60" xfId="0" applyFont="1" applyFill="1" applyBorder="1" applyAlignment="1" applyProtection="1">
      <alignment horizontal="center" vertical="center" wrapText="1"/>
      <protection hidden="1"/>
    </xf>
    <xf numFmtId="168" fontId="44" fillId="9" borderId="38" xfId="0" applyNumberFormat="1" applyFont="1" applyFill="1" applyBorder="1" applyAlignment="1" applyProtection="1">
      <alignment horizontal="center" vertical="center"/>
      <protection hidden="1"/>
    </xf>
    <xf numFmtId="168" fontId="44" fillId="9" borderId="60" xfId="0" applyNumberFormat="1" applyFont="1" applyFill="1" applyBorder="1" applyAlignment="1" applyProtection="1">
      <alignment horizontal="center" vertical="center"/>
      <protection hidden="1"/>
    </xf>
    <xf numFmtId="0" fontId="17" fillId="9" borderId="24" xfId="0" applyFont="1" applyFill="1" applyBorder="1" applyAlignment="1" applyProtection="1">
      <alignment horizontal="center" vertical="center" wrapText="1"/>
      <protection locked="0"/>
    </xf>
    <xf numFmtId="0" fontId="17" fillId="9" borderId="41" xfId="0" applyFont="1" applyFill="1" applyBorder="1" applyAlignment="1" applyProtection="1">
      <alignment horizontal="center" vertical="center" wrapText="1"/>
      <protection locked="0"/>
    </xf>
    <xf numFmtId="0" fontId="43" fillId="5" borderId="30" xfId="0" applyFont="1" applyFill="1" applyBorder="1" applyAlignment="1" applyProtection="1">
      <alignment horizontal="right"/>
      <protection hidden="1"/>
    </xf>
    <xf numFmtId="0" fontId="43" fillId="5" borderId="31" xfId="0" applyFont="1" applyFill="1" applyBorder="1" applyAlignment="1" applyProtection="1">
      <alignment horizontal="right"/>
      <protection hidden="1"/>
    </xf>
    <xf numFmtId="0" fontId="135" fillId="8" borderId="30" xfId="0" applyFont="1" applyFill="1" applyBorder="1" applyAlignment="1" applyProtection="1">
      <alignment horizontal="center" vertical="center"/>
      <protection hidden="1"/>
    </xf>
    <xf numFmtId="0" fontId="135" fillId="8" borderId="131" xfId="0" applyFont="1" applyFill="1" applyBorder="1" applyAlignment="1" applyProtection="1">
      <alignment horizontal="center" vertical="center"/>
      <protection hidden="1"/>
    </xf>
    <xf numFmtId="0" fontId="37" fillId="9" borderId="125" xfId="0" quotePrefix="1" applyFont="1" applyFill="1" applyBorder="1" applyAlignment="1" applyProtection="1">
      <alignment horizontal="center"/>
      <protection locked="0"/>
    </xf>
    <xf numFmtId="0" fontId="37" fillId="9" borderId="31" xfId="0" quotePrefix="1" applyFont="1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hidden="1"/>
    </xf>
    <xf numFmtId="0" fontId="61" fillId="16" borderId="3" xfId="0" applyFont="1" applyFill="1" applyBorder="1" applyAlignment="1" applyProtection="1">
      <alignment horizontal="center" vertical="center"/>
      <protection hidden="1"/>
    </xf>
    <xf numFmtId="0" fontId="61" fillId="16" borderId="4" xfId="0" applyFont="1" applyFill="1" applyBorder="1" applyAlignment="1" applyProtection="1">
      <alignment horizontal="center" vertical="center"/>
      <protection hidden="1"/>
    </xf>
    <xf numFmtId="166" fontId="61" fillId="16" borderId="2" xfId="0" applyNumberFormat="1" applyFont="1" applyFill="1" applyBorder="1" applyAlignment="1" applyProtection="1">
      <alignment horizontal="center" vertical="center"/>
      <protection hidden="1"/>
    </xf>
    <xf numFmtId="166" fontId="61" fillId="16" borderId="4" xfId="0" applyNumberFormat="1" applyFont="1" applyFill="1" applyBorder="1" applyAlignment="1" applyProtection="1">
      <alignment horizontal="center" vertical="center"/>
      <protection hidden="1"/>
    </xf>
    <xf numFmtId="0" fontId="61" fillId="16" borderId="9" xfId="0" applyFont="1" applyFill="1" applyBorder="1" applyAlignment="1" applyProtection="1">
      <alignment horizontal="center" vertical="center"/>
      <protection hidden="1"/>
    </xf>
    <xf numFmtId="0" fontId="61" fillId="16" borderId="53" xfId="0" applyFont="1" applyFill="1" applyBorder="1" applyAlignment="1" applyProtection="1">
      <alignment horizontal="center" vertical="center"/>
      <protection hidden="1"/>
    </xf>
    <xf numFmtId="0" fontId="61" fillId="16" borderId="5" xfId="0" applyFont="1" applyFill="1" applyBorder="1" applyAlignment="1" applyProtection="1">
      <alignment horizontal="center" vertical="center"/>
      <protection hidden="1"/>
    </xf>
    <xf numFmtId="0" fontId="61" fillId="16" borderId="57" xfId="0" applyFont="1" applyFill="1" applyBorder="1" applyAlignment="1" applyProtection="1">
      <alignment horizontal="center" vertical="center"/>
      <protection hidden="1"/>
    </xf>
    <xf numFmtId="166" fontId="61" fillId="16" borderId="6" xfId="0" applyNumberFormat="1" applyFont="1" applyFill="1" applyBorder="1" applyAlignment="1" applyProtection="1">
      <alignment horizontal="center" vertical="center"/>
      <protection hidden="1"/>
    </xf>
    <xf numFmtId="166" fontId="61" fillId="16" borderId="53" xfId="0" applyNumberFormat="1" applyFont="1" applyFill="1" applyBorder="1" applyAlignment="1" applyProtection="1">
      <alignment horizontal="center" vertical="center"/>
      <protection hidden="1"/>
    </xf>
    <xf numFmtId="166" fontId="61" fillId="16" borderId="8" xfId="0" applyNumberFormat="1" applyFont="1" applyFill="1" applyBorder="1" applyAlignment="1" applyProtection="1">
      <alignment horizontal="center" vertical="center"/>
      <protection hidden="1"/>
    </xf>
    <xf numFmtId="166" fontId="61" fillId="16" borderId="57" xfId="0" applyNumberFormat="1" applyFont="1" applyFill="1" applyBorder="1" applyAlignment="1" applyProtection="1">
      <alignment horizontal="center" vertical="center"/>
      <protection hidden="1"/>
    </xf>
    <xf numFmtId="0" fontId="63" fillId="16" borderId="58" xfId="0" applyFont="1" applyFill="1" applyBorder="1" applyAlignment="1" applyProtection="1">
      <alignment horizontal="center" vertical="center"/>
      <protection hidden="1"/>
    </xf>
    <xf numFmtId="0" fontId="63" fillId="16" borderId="59" xfId="0" applyFont="1" applyFill="1" applyBorder="1" applyAlignment="1" applyProtection="1">
      <alignment horizontal="center" vertical="center"/>
      <protection hidden="1"/>
    </xf>
    <xf numFmtId="0" fontId="134" fillId="10" borderId="136" xfId="0" applyFont="1" applyFill="1" applyBorder="1" applyAlignment="1" applyProtection="1">
      <alignment horizontal="center" wrapText="1"/>
      <protection hidden="1"/>
    </xf>
    <xf numFmtId="0" fontId="134" fillId="10" borderId="0" xfId="0" applyFont="1" applyFill="1" applyBorder="1" applyAlignment="1" applyProtection="1">
      <alignment horizontal="center" wrapText="1"/>
      <protection hidden="1"/>
    </xf>
    <xf numFmtId="0" fontId="54" fillId="10" borderId="136" xfId="0" applyFont="1" applyFill="1" applyBorder="1" applyAlignment="1" applyProtection="1">
      <alignment horizontal="center" wrapText="1"/>
      <protection hidden="1"/>
    </xf>
    <xf numFmtId="0" fontId="54" fillId="10" borderId="0" xfId="0" applyFont="1" applyFill="1" applyBorder="1" applyAlignment="1" applyProtection="1">
      <alignment horizontal="center" wrapText="1"/>
      <protection hidden="1"/>
    </xf>
    <xf numFmtId="0" fontId="126" fillId="6" borderId="31" xfId="0" applyFont="1" applyFill="1" applyBorder="1" applyAlignment="1" applyProtection="1">
      <alignment horizontal="center"/>
      <protection locked="0"/>
    </xf>
    <xf numFmtId="0" fontId="126" fillId="6" borderId="32" xfId="0" applyFont="1" applyFill="1" applyBorder="1" applyAlignment="1" applyProtection="1">
      <alignment horizontal="center"/>
      <protection locked="0"/>
    </xf>
    <xf numFmtId="0" fontId="43" fillId="7" borderId="128" xfId="0" applyFont="1" applyFill="1" applyBorder="1" applyAlignment="1" applyProtection="1">
      <alignment horizontal="center" vertical="center"/>
      <protection hidden="1"/>
    </xf>
    <xf numFmtId="0" fontId="17" fillId="9" borderId="25" xfId="0" applyFont="1" applyFill="1" applyBorder="1" applyAlignment="1" applyProtection="1">
      <alignment horizontal="center" vertical="center" wrapText="1"/>
      <protection locked="0"/>
    </xf>
    <xf numFmtId="0" fontId="17" fillId="9" borderId="39" xfId="0" applyFont="1" applyFill="1" applyBorder="1" applyAlignment="1" applyProtection="1">
      <alignment horizontal="center" vertical="center" wrapText="1"/>
      <protection locked="0"/>
    </xf>
    <xf numFmtId="1" fontId="17" fillId="9" borderId="25" xfId="0" applyNumberFormat="1" applyFont="1" applyFill="1" applyBorder="1" applyAlignment="1" applyProtection="1">
      <alignment horizontal="center" vertical="center" wrapText="1"/>
      <protection locked="0"/>
    </xf>
    <xf numFmtId="1" fontId="17" fillId="9" borderId="39" xfId="0" applyNumberFormat="1" applyFont="1" applyFill="1" applyBorder="1" applyAlignment="1" applyProtection="1">
      <alignment horizontal="center" vertical="center" wrapText="1"/>
      <protection locked="0"/>
    </xf>
    <xf numFmtId="0" fontId="42" fillId="8" borderId="130" xfId="0" applyFont="1" applyFill="1" applyBorder="1" applyAlignment="1" applyProtection="1">
      <alignment horizontal="center" vertical="center" wrapText="1"/>
      <protection hidden="1"/>
    </xf>
    <xf numFmtId="0" fontId="42" fillId="8" borderId="21" xfId="0" applyFont="1" applyFill="1" applyBorder="1" applyAlignment="1" applyProtection="1">
      <alignment horizontal="center" vertical="center" wrapText="1"/>
      <protection hidden="1"/>
    </xf>
    <xf numFmtId="0" fontId="135" fillId="23" borderId="130" xfId="0" applyFont="1" applyFill="1" applyBorder="1" applyAlignment="1" applyProtection="1">
      <alignment horizontal="center" vertical="center"/>
      <protection hidden="1"/>
    </xf>
    <xf numFmtId="0" fontId="135" fillId="23" borderId="41" xfId="0" applyFont="1" applyFill="1" applyBorder="1" applyAlignment="1" applyProtection="1">
      <alignment horizontal="center" vertical="center"/>
      <protection hidden="1"/>
    </xf>
    <xf numFmtId="0" fontId="135" fillId="23" borderId="34" xfId="0" applyFont="1" applyFill="1" applyBorder="1" applyAlignment="1" applyProtection="1">
      <alignment horizontal="center" vertical="center"/>
      <protection hidden="1"/>
    </xf>
    <xf numFmtId="0" fontId="52" fillId="7" borderId="128" xfId="0" applyFont="1" applyFill="1" applyBorder="1" applyAlignment="1" applyProtection="1">
      <alignment horizontal="center"/>
      <protection hidden="1"/>
    </xf>
    <xf numFmtId="0" fontId="53" fillId="8" borderId="31" xfId="0" applyFont="1" applyFill="1" applyBorder="1" applyAlignment="1" applyProtection="1">
      <alignment horizontal="center" vertical="center"/>
      <protection hidden="1"/>
    </xf>
    <xf numFmtId="0" fontId="53" fillId="8" borderId="131" xfId="0" applyFont="1" applyFill="1" applyBorder="1" applyAlignment="1" applyProtection="1">
      <alignment horizontal="center" vertical="center"/>
      <protection hidden="1"/>
    </xf>
    <xf numFmtId="164" fontId="38" fillId="9" borderId="125" xfId="0" applyNumberFormat="1" applyFont="1" applyFill="1" applyBorder="1" applyAlignment="1" applyProtection="1">
      <alignment horizontal="right" vertical="center"/>
      <protection locked="0"/>
    </xf>
    <xf numFmtId="164" fontId="38" fillId="9" borderId="31" xfId="0" applyNumberFormat="1" applyFont="1" applyFill="1" applyBorder="1" applyAlignment="1" applyProtection="1">
      <alignment horizontal="right" vertical="center"/>
      <protection locked="0"/>
    </xf>
    <xf numFmtId="0" fontId="42" fillId="8" borderId="130" xfId="0" applyFont="1" applyFill="1" applyBorder="1" applyAlignment="1" applyProtection="1">
      <alignment vertical="center" wrapText="1"/>
      <protection hidden="1"/>
    </xf>
    <xf numFmtId="0" fontId="42" fillId="8" borderId="41" xfId="0" applyFont="1" applyFill="1" applyBorder="1" applyAlignment="1" applyProtection="1">
      <alignment vertical="center" wrapText="1"/>
      <protection hidden="1"/>
    </xf>
    <xf numFmtId="0" fontId="42" fillId="8" borderId="45" xfId="0" applyFont="1" applyFill="1" applyBorder="1" applyAlignment="1" applyProtection="1">
      <alignment vertical="center" wrapText="1"/>
      <protection hidden="1"/>
    </xf>
    <xf numFmtId="0" fontId="42" fillId="8" borderId="40" xfId="0" applyFont="1" applyFill="1" applyBorder="1" applyAlignment="1" applyProtection="1">
      <alignment vertical="center" wrapText="1"/>
      <protection hidden="1"/>
    </xf>
    <xf numFmtId="49" fontId="17" fillId="9" borderId="41" xfId="0" applyNumberFormat="1" applyFont="1" applyFill="1" applyBorder="1" applyAlignment="1" applyProtection="1">
      <alignment horizontal="center" vertical="center" wrapText="1"/>
      <protection locked="0"/>
    </xf>
    <xf numFmtId="49" fontId="17" fillId="9" borderId="34" xfId="0" applyNumberFormat="1" applyFont="1" applyFill="1" applyBorder="1" applyAlignment="1" applyProtection="1">
      <alignment horizontal="center" vertical="center" wrapText="1"/>
      <protection locked="0"/>
    </xf>
    <xf numFmtId="0" fontId="45" fillId="23" borderId="36" xfId="0" applyFont="1" applyFill="1" applyBorder="1" applyAlignment="1" applyProtection="1">
      <alignment horizontal="center" vertical="center"/>
      <protection hidden="1"/>
    </xf>
    <xf numFmtId="0" fontId="45" fillId="23" borderId="33" xfId="0" applyFont="1" applyFill="1" applyBorder="1" applyAlignment="1" applyProtection="1">
      <alignment horizontal="center" vertical="center"/>
      <protection hidden="1"/>
    </xf>
    <xf numFmtId="0" fontId="45" fillId="23" borderId="37" xfId="0" applyFont="1" applyFill="1" applyBorder="1" applyAlignment="1" applyProtection="1">
      <alignment horizontal="center" vertical="center"/>
      <protection hidden="1"/>
    </xf>
    <xf numFmtId="0" fontId="45" fillId="23" borderId="127" xfId="0" applyFont="1" applyFill="1" applyBorder="1" applyAlignment="1" applyProtection="1">
      <alignment horizontal="center" vertical="center"/>
      <protection hidden="1"/>
    </xf>
    <xf numFmtId="0" fontId="45" fillId="23" borderId="128" xfId="0" applyFont="1" applyFill="1" applyBorder="1" applyAlignment="1" applyProtection="1">
      <alignment horizontal="center" vertical="center"/>
      <protection hidden="1"/>
    </xf>
    <xf numFmtId="0" fontId="45" fillId="23" borderId="129" xfId="0" applyFont="1" applyFill="1" applyBorder="1" applyAlignment="1" applyProtection="1">
      <alignment horizontal="center" vertical="center"/>
      <protection hidden="1"/>
    </xf>
    <xf numFmtId="0" fontId="45" fillId="7" borderId="0" xfId="0" applyFont="1" applyFill="1" applyBorder="1" applyAlignment="1" applyProtection="1">
      <alignment horizontal="center" vertical="center"/>
      <protection hidden="1"/>
    </xf>
    <xf numFmtId="0" fontId="46" fillId="23" borderId="130" xfId="0" applyFont="1" applyFill="1" applyBorder="1" applyAlignment="1" applyProtection="1">
      <alignment horizontal="center" vertical="center"/>
      <protection hidden="1"/>
    </xf>
    <xf numFmtId="0" fontId="46" fillId="23" borderId="41" xfId="0" applyFont="1" applyFill="1" applyBorder="1" applyAlignment="1" applyProtection="1">
      <alignment horizontal="center" vertical="center"/>
      <protection hidden="1"/>
    </xf>
    <xf numFmtId="0" fontId="46" fillId="23" borderId="34" xfId="0" applyFont="1" applyFill="1" applyBorder="1" applyAlignment="1" applyProtection="1">
      <alignment horizontal="center" vertical="center"/>
      <protection hidden="1"/>
    </xf>
    <xf numFmtId="0" fontId="44" fillId="9" borderId="25" xfId="0" applyFont="1" applyFill="1" applyBorder="1" applyAlignment="1" applyProtection="1">
      <alignment horizontal="center" vertical="center"/>
      <protection locked="0"/>
    </xf>
    <xf numFmtId="0" fontId="44" fillId="9" borderId="22" xfId="0" applyFont="1" applyFill="1" applyBorder="1" applyAlignment="1" applyProtection="1">
      <alignment horizontal="center" vertical="center"/>
      <protection locked="0"/>
    </xf>
    <xf numFmtId="0" fontId="44" fillId="9" borderId="26" xfId="0" applyFont="1" applyFill="1" applyBorder="1" applyAlignment="1" applyProtection="1">
      <alignment horizontal="center" vertical="center"/>
      <protection locked="0"/>
    </xf>
    <xf numFmtId="0" fontId="44" fillId="9" borderId="23" xfId="0" applyFont="1" applyFill="1" applyBorder="1" applyAlignment="1" applyProtection="1">
      <alignment horizontal="center" vertical="center"/>
      <protection locked="0"/>
    </xf>
    <xf numFmtId="0" fontId="42" fillId="8" borderId="44" xfId="0" applyFont="1" applyFill="1" applyBorder="1" applyAlignment="1" applyProtection="1">
      <alignment horizontal="center" vertical="top" wrapText="1"/>
      <protection hidden="1"/>
    </xf>
    <xf numFmtId="0" fontId="42" fillId="8" borderId="39" xfId="0" applyFont="1" applyFill="1" applyBorder="1" applyAlignment="1" applyProtection="1">
      <alignment horizontal="center" vertical="top" wrapText="1"/>
      <protection hidden="1"/>
    </xf>
    <xf numFmtId="0" fontId="42" fillId="8" borderId="22" xfId="0" applyFont="1" applyFill="1" applyBorder="1" applyAlignment="1" applyProtection="1">
      <alignment horizontal="center" vertical="top" wrapText="1"/>
      <protection hidden="1"/>
    </xf>
    <xf numFmtId="0" fontId="45" fillId="4" borderId="30" xfId="0" applyFont="1" applyFill="1" applyBorder="1" applyAlignment="1" applyProtection="1">
      <alignment horizontal="center" wrapText="1"/>
      <protection hidden="1"/>
    </xf>
    <xf numFmtId="0" fontId="45" fillId="4" borderId="31" xfId="0" applyFont="1" applyFill="1" applyBorder="1" applyAlignment="1" applyProtection="1">
      <alignment horizontal="center" wrapText="1"/>
      <protection hidden="1"/>
    </xf>
    <xf numFmtId="0" fontId="45" fillId="4" borderId="32" xfId="0" applyFont="1" applyFill="1" applyBorder="1" applyAlignment="1" applyProtection="1">
      <alignment horizontal="center" wrapText="1"/>
      <protection hidden="1"/>
    </xf>
    <xf numFmtId="0" fontId="80" fillId="4" borderId="46" xfId="0" applyFont="1" applyFill="1" applyBorder="1" applyAlignment="1" applyProtection="1">
      <alignment horizontal="center" vertical="center" wrapText="1"/>
      <protection hidden="1"/>
    </xf>
    <xf numFmtId="0" fontId="80" fillId="4" borderId="29" xfId="0" applyFont="1" applyFill="1" applyBorder="1" applyAlignment="1" applyProtection="1">
      <alignment horizontal="center" vertical="center" wrapText="1"/>
      <protection hidden="1"/>
    </xf>
    <xf numFmtId="0" fontId="78" fillId="7" borderId="36" xfId="0" quotePrefix="1" applyFont="1" applyFill="1" applyBorder="1" applyAlignment="1" applyProtection="1">
      <alignment horizontal="center" vertical="center" wrapText="1"/>
      <protection hidden="1"/>
    </xf>
    <xf numFmtId="0" fontId="78" fillId="7" borderId="33" xfId="0" applyFont="1" applyFill="1" applyBorder="1" applyAlignment="1" applyProtection="1">
      <alignment horizontal="center" vertical="center" wrapText="1"/>
      <protection hidden="1"/>
    </xf>
    <xf numFmtId="0" fontId="57" fillId="11" borderId="127" xfId="0" applyFont="1" applyFill="1" applyBorder="1" applyAlignment="1" applyProtection="1">
      <alignment horizontal="center" vertical="center" wrapText="1"/>
      <protection hidden="1"/>
    </xf>
    <xf numFmtId="0" fontId="57" fillId="11" borderId="128" xfId="0" applyFont="1" applyFill="1" applyBorder="1" applyAlignment="1" applyProtection="1">
      <alignment horizontal="center" vertical="center" wrapText="1"/>
      <protection hidden="1"/>
    </xf>
    <xf numFmtId="0" fontId="78" fillId="7" borderId="36" xfId="0" applyFont="1" applyFill="1" applyBorder="1" applyAlignment="1" applyProtection="1">
      <alignment horizontal="center" vertical="center" wrapText="1"/>
      <protection hidden="1"/>
    </xf>
    <xf numFmtId="0" fontId="78" fillId="7" borderId="33" xfId="0" quotePrefix="1" applyFont="1" applyFill="1" applyBorder="1" applyAlignment="1" applyProtection="1">
      <alignment horizontal="center" vertical="center" wrapText="1"/>
      <protection hidden="1"/>
    </xf>
    <xf numFmtId="0" fontId="78" fillId="7" borderId="33" xfId="0" applyFont="1" applyFill="1" applyBorder="1" applyAlignment="1" applyProtection="1">
      <alignment horizontal="center" vertical="center"/>
      <protection hidden="1"/>
    </xf>
    <xf numFmtId="0" fontId="60" fillId="4" borderId="30" xfId="0" applyFont="1" applyFill="1" applyBorder="1" applyAlignment="1" applyProtection="1">
      <alignment horizontal="center" vertical="center"/>
      <protection hidden="1"/>
    </xf>
    <xf numFmtId="0" fontId="60" fillId="4" borderId="31" xfId="0" applyFont="1" applyFill="1" applyBorder="1" applyAlignment="1" applyProtection="1">
      <alignment horizontal="center" vertical="center"/>
      <protection hidden="1"/>
    </xf>
    <xf numFmtId="0" fontId="59" fillId="13" borderId="45" xfId="0" applyFont="1" applyFill="1" applyBorder="1" applyAlignment="1" applyProtection="1">
      <alignment horizontal="center" vertical="center" wrapText="1"/>
      <protection hidden="1"/>
    </xf>
    <xf numFmtId="0" fontId="59" fillId="13" borderId="40" xfId="0" applyFont="1" applyFill="1" applyBorder="1" applyAlignment="1" applyProtection="1">
      <alignment horizontal="center" vertical="center" wrapText="1"/>
      <protection hidden="1"/>
    </xf>
    <xf numFmtId="0" fontId="59" fillId="13" borderId="135" xfId="0" applyFont="1" applyFill="1" applyBorder="1" applyAlignment="1" applyProtection="1">
      <alignment horizontal="center" vertical="center" wrapText="1"/>
      <protection hidden="1"/>
    </xf>
    <xf numFmtId="0" fontId="59" fillId="14" borderId="45" xfId="0" applyFont="1" applyFill="1" applyBorder="1" applyAlignment="1" applyProtection="1">
      <alignment horizontal="center" vertical="center" wrapText="1"/>
      <protection hidden="1"/>
    </xf>
    <xf numFmtId="0" fontId="59" fillId="14" borderId="40" xfId="0" applyFont="1" applyFill="1" applyBorder="1" applyAlignment="1" applyProtection="1">
      <alignment horizontal="center" vertical="center" wrapText="1"/>
      <protection hidden="1"/>
    </xf>
    <xf numFmtId="0" fontId="59" fillId="14" borderId="135" xfId="0" applyFont="1" applyFill="1" applyBorder="1" applyAlignment="1" applyProtection="1">
      <alignment horizontal="center" vertical="center" wrapText="1"/>
      <protection hidden="1"/>
    </xf>
    <xf numFmtId="0" fontId="59" fillId="15" borderId="45" xfId="0" applyFont="1" applyFill="1" applyBorder="1" applyAlignment="1" applyProtection="1">
      <alignment horizontal="center" vertical="center"/>
      <protection hidden="1"/>
    </xf>
    <xf numFmtId="0" fontId="59" fillId="15" borderId="40" xfId="0" applyFont="1" applyFill="1" applyBorder="1" applyAlignment="1" applyProtection="1">
      <alignment horizontal="center" vertical="center"/>
      <protection hidden="1"/>
    </xf>
    <xf numFmtId="0" fontId="59" fillId="15" borderId="135" xfId="0" applyFont="1" applyFill="1" applyBorder="1" applyAlignment="1" applyProtection="1">
      <alignment horizontal="center" vertical="center"/>
      <protection hidden="1"/>
    </xf>
    <xf numFmtId="0" fontId="40" fillId="4" borderId="48" xfId="0" applyFont="1" applyFill="1" applyBorder="1" applyAlignment="1" applyProtection="1">
      <alignment horizontal="center" vertical="center" textRotation="90" wrapText="1"/>
      <protection hidden="1"/>
    </xf>
    <xf numFmtId="0" fontId="40" fillId="4" borderId="46" xfId="0" applyFont="1" applyFill="1" applyBorder="1" applyAlignment="1" applyProtection="1">
      <alignment horizontal="center" vertical="center" textRotation="90" wrapText="1"/>
      <protection hidden="1"/>
    </xf>
    <xf numFmtId="0" fontId="40" fillId="4" borderId="29" xfId="0" applyFont="1" applyFill="1" applyBorder="1" applyAlignment="1" applyProtection="1">
      <alignment horizontal="center" vertical="center" textRotation="90" wrapText="1"/>
      <protection hidden="1"/>
    </xf>
    <xf numFmtId="0" fontId="40" fillId="4" borderId="47" xfId="0" applyFont="1" applyFill="1" applyBorder="1" applyAlignment="1" applyProtection="1">
      <alignment horizontal="center" vertical="center" textRotation="90" wrapText="1"/>
      <protection hidden="1"/>
    </xf>
    <xf numFmtId="0" fontId="40" fillId="4" borderId="50" xfId="0" applyFont="1" applyFill="1" applyBorder="1" applyAlignment="1" applyProtection="1">
      <alignment horizontal="center" vertical="center" textRotation="90" wrapText="1"/>
      <protection hidden="1"/>
    </xf>
    <xf numFmtId="0" fontId="40" fillId="4" borderId="51" xfId="0" applyFont="1" applyFill="1" applyBorder="1" applyAlignment="1" applyProtection="1">
      <alignment horizontal="center" vertical="center" textRotation="90" wrapText="1"/>
      <protection hidden="1"/>
    </xf>
    <xf numFmtId="0" fontId="83" fillId="7" borderId="0" xfId="0" applyFont="1" applyFill="1" applyBorder="1" applyAlignment="1" applyProtection="1">
      <alignment horizontal="center" vertical="center" wrapText="1"/>
      <protection hidden="1"/>
    </xf>
    <xf numFmtId="0" fontId="34" fillId="7" borderId="0" xfId="0" applyFont="1" applyFill="1" applyAlignment="1" applyProtection="1">
      <alignment horizontal="center"/>
      <protection hidden="1"/>
    </xf>
    <xf numFmtId="0" fontId="58" fillId="4" borderId="30" xfId="0" applyFont="1" applyFill="1" applyBorder="1" applyAlignment="1" applyProtection="1">
      <alignment horizontal="center" vertical="center"/>
      <protection hidden="1"/>
    </xf>
    <xf numFmtId="0" fontId="58" fillId="4" borderId="31" xfId="0" applyFont="1" applyFill="1" applyBorder="1" applyAlignment="1" applyProtection="1">
      <alignment horizontal="center" vertical="center"/>
      <protection hidden="1"/>
    </xf>
    <xf numFmtId="0" fontId="58" fillId="4" borderId="32" xfId="0" applyFont="1" applyFill="1" applyBorder="1" applyAlignment="1" applyProtection="1">
      <alignment horizontal="center" vertical="center"/>
      <protection hidden="1"/>
    </xf>
    <xf numFmtId="0" fontId="47" fillId="4" borderId="48" xfId="0" applyFont="1" applyFill="1" applyBorder="1" applyAlignment="1" applyProtection="1">
      <alignment horizontal="center" vertical="center" wrapText="1"/>
      <protection hidden="1"/>
    </xf>
    <xf numFmtId="0" fontId="47" fillId="4" borderId="46" xfId="0" applyFont="1" applyFill="1" applyBorder="1" applyAlignment="1" applyProtection="1">
      <alignment horizontal="center" vertical="center" wrapText="1"/>
      <protection hidden="1"/>
    </xf>
    <xf numFmtId="0" fontId="47" fillId="4" borderId="29" xfId="0" applyFont="1" applyFill="1" applyBorder="1" applyAlignment="1" applyProtection="1">
      <alignment horizontal="center" vertical="center" wrapText="1"/>
      <protection hidden="1"/>
    </xf>
    <xf numFmtId="0" fontId="40" fillId="4" borderId="46" xfId="0" applyFont="1" applyFill="1" applyBorder="1" applyAlignment="1" applyProtection="1">
      <alignment horizontal="center" vertical="center" wrapText="1"/>
      <protection hidden="1"/>
    </xf>
    <xf numFmtId="0" fontId="40" fillId="4" borderId="29" xfId="0" applyFont="1" applyFill="1" applyBorder="1" applyAlignment="1" applyProtection="1">
      <alignment horizontal="center" vertical="center" wrapText="1"/>
      <protection hidden="1"/>
    </xf>
    <xf numFmtId="0" fontId="47" fillId="4" borderId="122" xfId="0" applyFont="1" applyFill="1" applyBorder="1" applyAlignment="1" applyProtection="1">
      <alignment horizontal="center" vertical="center" wrapText="1"/>
      <protection hidden="1"/>
    </xf>
    <xf numFmtId="0" fontId="47" fillId="4" borderId="56" xfId="0" applyFont="1" applyFill="1" applyBorder="1" applyAlignment="1" applyProtection="1">
      <alignment horizontal="center" vertical="center" wrapText="1"/>
      <protection hidden="1"/>
    </xf>
    <xf numFmtId="0" fontId="59" fillId="13" borderId="44" xfId="0" applyFont="1" applyFill="1" applyBorder="1" applyAlignment="1" applyProtection="1">
      <alignment horizontal="center" vertical="center" wrapText="1"/>
      <protection hidden="1"/>
    </xf>
    <xf numFmtId="0" fontId="59" fillId="13" borderId="39" xfId="0" applyFont="1" applyFill="1" applyBorder="1" applyAlignment="1" applyProtection="1">
      <alignment horizontal="center" vertical="center" wrapText="1"/>
      <protection hidden="1"/>
    </xf>
    <xf numFmtId="0" fontId="59" fillId="13" borderId="35" xfId="0" applyFont="1" applyFill="1" applyBorder="1" applyAlignment="1" applyProtection="1">
      <alignment horizontal="center" vertical="center" wrapText="1"/>
      <protection hidden="1"/>
    </xf>
    <xf numFmtId="0" fontId="59" fillId="14" borderId="44" xfId="0" applyFont="1" applyFill="1" applyBorder="1" applyAlignment="1" applyProtection="1">
      <alignment horizontal="center" vertical="center" wrapText="1"/>
      <protection hidden="1"/>
    </xf>
    <xf numFmtId="0" fontId="59" fillId="14" borderId="39" xfId="0" applyFont="1" applyFill="1" applyBorder="1" applyAlignment="1" applyProtection="1">
      <alignment horizontal="center" vertical="center" wrapText="1"/>
      <protection hidden="1"/>
    </xf>
    <xf numFmtId="0" fontId="59" fillId="14" borderId="35" xfId="0" applyFont="1" applyFill="1" applyBorder="1" applyAlignment="1" applyProtection="1">
      <alignment horizontal="center" vertical="center" wrapText="1"/>
      <protection hidden="1"/>
    </xf>
    <xf numFmtId="0" fontId="94" fillId="4" borderId="36" xfId="0" applyFont="1" applyFill="1" applyBorder="1" applyAlignment="1" applyProtection="1">
      <alignment horizontal="center" vertical="center" wrapText="1"/>
      <protection hidden="1"/>
    </xf>
    <xf numFmtId="0" fontId="94" fillId="4" borderId="37" xfId="0" applyFont="1" applyFill="1" applyBorder="1" applyAlignment="1" applyProtection="1">
      <alignment horizontal="center" vertical="center" wrapText="1"/>
      <protection hidden="1"/>
    </xf>
    <xf numFmtId="0" fontId="94" fillId="4" borderId="127" xfId="0" applyFont="1" applyFill="1" applyBorder="1" applyAlignment="1" applyProtection="1">
      <alignment horizontal="center" vertical="center" wrapText="1"/>
      <protection hidden="1"/>
    </xf>
    <xf numFmtId="0" fontId="94" fillId="4" borderId="129" xfId="0" applyFont="1" applyFill="1" applyBorder="1" applyAlignment="1" applyProtection="1">
      <alignment horizontal="center" vertical="center" wrapText="1"/>
      <protection hidden="1"/>
    </xf>
    <xf numFmtId="0" fontId="59" fillId="15" borderId="44" xfId="0" applyFont="1" applyFill="1" applyBorder="1" applyAlignment="1" applyProtection="1">
      <alignment horizontal="center" vertical="center"/>
      <protection hidden="1"/>
    </xf>
    <xf numFmtId="0" fontId="59" fillId="15" borderId="39" xfId="0" applyFont="1" applyFill="1" applyBorder="1" applyAlignment="1" applyProtection="1">
      <alignment horizontal="center" vertical="center"/>
      <protection hidden="1"/>
    </xf>
    <xf numFmtId="0" fontId="59" fillId="15" borderId="35" xfId="0" applyFont="1" applyFill="1" applyBorder="1" applyAlignment="1" applyProtection="1">
      <alignment horizontal="center" vertical="center"/>
      <protection hidden="1"/>
    </xf>
    <xf numFmtId="0" fontId="34" fillId="12" borderId="13" xfId="0" applyFont="1" applyFill="1" applyBorder="1" applyAlignment="1" applyProtection="1">
      <alignment horizontal="center" vertical="center"/>
      <protection hidden="1"/>
    </xf>
    <xf numFmtId="0" fontId="34" fillId="12" borderId="14" xfId="0" applyFont="1" applyFill="1" applyBorder="1" applyAlignment="1" applyProtection="1">
      <alignment horizontal="center" vertical="center"/>
      <protection hidden="1"/>
    </xf>
    <xf numFmtId="0" fontId="34" fillId="12" borderId="15" xfId="0" applyFont="1" applyFill="1" applyBorder="1" applyAlignment="1" applyProtection="1">
      <alignment horizontal="center" vertical="center"/>
      <protection hidden="1"/>
    </xf>
    <xf numFmtId="0" fontId="69" fillId="15" borderId="44" xfId="0" applyFont="1" applyFill="1" applyBorder="1" applyAlignment="1" applyProtection="1">
      <alignment horizontal="center" vertical="center"/>
      <protection hidden="1"/>
    </xf>
    <xf numFmtId="0" fontId="69" fillId="15" borderId="39" xfId="0" applyFont="1" applyFill="1" applyBorder="1" applyAlignment="1" applyProtection="1">
      <alignment horizontal="center" vertical="center"/>
      <protection hidden="1"/>
    </xf>
    <xf numFmtId="0" fontId="69" fillId="15" borderId="35" xfId="0" applyFont="1" applyFill="1" applyBorder="1" applyAlignment="1" applyProtection="1">
      <alignment horizontal="center" vertical="center"/>
      <protection hidden="1"/>
    </xf>
    <xf numFmtId="1" fontId="100" fillId="4" borderId="101" xfId="0" applyNumberFormat="1" applyFont="1" applyFill="1" applyBorder="1" applyAlignment="1" applyProtection="1">
      <alignment horizontal="center" vertical="center"/>
      <protection hidden="1"/>
    </xf>
    <xf numFmtId="1" fontId="100" fillId="4" borderId="63" xfId="0" applyNumberFormat="1" applyFont="1" applyFill="1" applyBorder="1" applyAlignment="1" applyProtection="1">
      <alignment horizontal="center" vertical="center"/>
      <protection hidden="1"/>
    </xf>
    <xf numFmtId="0" fontId="125" fillId="4" borderId="138" xfId="0" applyFont="1" applyFill="1" applyBorder="1" applyAlignment="1" applyProtection="1">
      <alignment horizontal="center" vertical="center" wrapText="1"/>
      <protection hidden="1"/>
    </xf>
    <xf numFmtId="0" fontId="125" fillId="4" borderId="146" xfId="0" applyFont="1" applyFill="1" applyBorder="1" applyAlignment="1" applyProtection="1">
      <alignment horizontal="center" vertical="center" wrapText="1"/>
      <protection hidden="1"/>
    </xf>
    <xf numFmtId="1" fontId="100" fillId="4" borderId="46" xfId="0" applyNumberFormat="1" applyFont="1" applyFill="1" applyBorder="1" applyAlignment="1" applyProtection="1">
      <alignment horizontal="center" vertical="center"/>
      <protection hidden="1"/>
    </xf>
    <xf numFmtId="1" fontId="100" fillId="4" borderId="29" xfId="0" applyNumberFormat="1" applyFont="1" applyFill="1" applyBorder="1" applyAlignment="1" applyProtection="1">
      <alignment horizontal="center" vertical="center"/>
      <protection hidden="1"/>
    </xf>
    <xf numFmtId="1" fontId="100" fillId="4" borderId="139" xfId="0" applyNumberFormat="1" applyFont="1" applyFill="1" applyBorder="1" applyAlignment="1" applyProtection="1">
      <alignment horizontal="center" vertical="center"/>
      <protection hidden="1"/>
    </xf>
    <xf numFmtId="1" fontId="100" fillId="4" borderId="52" xfId="0" applyNumberFormat="1" applyFont="1" applyFill="1" applyBorder="1" applyAlignment="1" applyProtection="1">
      <alignment horizontal="center" vertical="center"/>
      <protection hidden="1"/>
    </xf>
    <xf numFmtId="0" fontId="94" fillId="4" borderId="147" xfId="0" applyFont="1" applyFill="1" applyBorder="1" applyAlignment="1" applyProtection="1">
      <alignment horizontal="center" wrapText="1"/>
      <protection hidden="1"/>
    </xf>
    <xf numFmtId="0" fontId="94" fillId="4" borderId="55" xfId="0" applyFont="1" applyFill="1" applyBorder="1" applyAlignment="1" applyProtection="1">
      <alignment horizontal="center" wrapText="1"/>
      <protection hidden="1"/>
    </xf>
    <xf numFmtId="0" fontId="94" fillId="4" borderId="26" xfId="0" applyFont="1" applyFill="1" applyBorder="1" applyAlignment="1" applyProtection="1">
      <alignment horizontal="center" wrapText="1"/>
      <protection hidden="1"/>
    </xf>
    <xf numFmtId="0" fontId="94" fillId="4" borderId="40" xfId="0" applyFont="1" applyFill="1" applyBorder="1" applyAlignment="1" applyProtection="1">
      <alignment horizontal="center" wrapText="1"/>
      <protection hidden="1"/>
    </xf>
    <xf numFmtId="0" fontId="94" fillId="4" borderId="135" xfId="0" applyFont="1" applyFill="1" applyBorder="1" applyAlignment="1" applyProtection="1">
      <alignment horizontal="center" wrapText="1"/>
      <protection hidden="1"/>
    </xf>
    <xf numFmtId="0" fontId="138" fillId="4" borderId="30" xfId="0" applyFont="1" applyFill="1" applyBorder="1" applyAlignment="1" applyProtection="1">
      <alignment horizontal="center" wrapText="1"/>
      <protection hidden="1"/>
    </xf>
    <xf numFmtId="0" fontId="138" fillId="4" borderId="31" xfId="0" applyFont="1" applyFill="1" applyBorder="1" applyAlignment="1" applyProtection="1">
      <alignment horizontal="center" wrapText="1"/>
      <protection hidden="1"/>
    </xf>
    <xf numFmtId="0" fontId="94" fillId="4" borderId="130" xfId="0" applyFont="1" applyFill="1" applyBorder="1" applyAlignment="1" applyProtection="1">
      <alignment horizontal="center" vertical="center" wrapText="1"/>
      <protection hidden="1"/>
    </xf>
    <xf numFmtId="0" fontId="94" fillId="4" borderId="41" xfId="0" applyFont="1" applyFill="1" applyBorder="1" applyAlignment="1" applyProtection="1">
      <alignment horizontal="center" vertical="center" wrapText="1"/>
      <protection hidden="1"/>
    </xf>
    <xf numFmtId="0" fontId="94" fillId="4" borderId="21" xfId="0" applyFont="1" applyFill="1" applyBorder="1" applyAlignment="1" applyProtection="1">
      <alignment horizontal="center" vertical="center" wrapText="1"/>
      <protection hidden="1"/>
    </xf>
    <xf numFmtId="0" fontId="57" fillId="12" borderId="13" xfId="0" applyFont="1" applyFill="1" applyBorder="1" applyAlignment="1" applyProtection="1">
      <alignment horizontal="center" vertical="center" wrapText="1"/>
      <protection hidden="1"/>
    </xf>
    <xf numFmtId="0" fontId="57" fillId="12" borderId="14" xfId="0" applyFont="1" applyFill="1" applyBorder="1" applyAlignment="1" applyProtection="1">
      <alignment horizontal="center" vertical="center" wrapText="1"/>
      <protection hidden="1"/>
    </xf>
    <xf numFmtId="0" fontId="57" fillId="12" borderId="15" xfId="0" applyFont="1" applyFill="1" applyBorder="1" applyAlignment="1" applyProtection="1">
      <alignment horizontal="center" vertical="center" wrapText="1"/>
      <protection hidden="1"/>
    </xf>
    <xf numFmtId="164" fontId="124" fillId="4" borderId="31" xfId="0" applyNumberFormat="1" applyFont="1" applyFill="1" applyBorder="1" applyAlignment="1" applyProtection="1">
      <alignment horizontal="center" vertical="center"/>
      <protection hidden="1"/>
    </xf>
    <xf numFmtId="164" fontId="124" fillId="4" borderId="32" xfId="0" applyNumberFormat="1" applyFont="1" applyFill="1" applyBorder="1" applyAlignment="1" applyProtection="1">
      <alignment horizontal="center" vertical="center"/>
      <protection hidden="1"/>
    </xf>
    <xf numFmtId="0" fontId="58" fillId="4" borderId="31" xfId="0" applyFont="1" applyFill="1" applyBorder="1" applyAlignment="1" applyProtection="1">
      <alignment horizontal="right" vertical="center"/>
      <protection hidden="1"/>
    </xf>
    <xf numFmtId="0" fontId="138" fillId="4" borderId="130" xfId="0" applyFont="1" applyFill="1" applyBorder="1" applyAlignment="1" applyProtection="1">
      <alignment horizontal="center" vertical="center"/>
      <protection hidden="1"/>
    </xf>
    <xf numFmtId="0" fontId="138" fillId="4" borderId="41" xfId="0" applyFont="1" applyFill="1" applyBorder="1" applyAlignment="1" applyProtection="1">
      <alignment horizontal="center" vertical="center"/>
      <protection hidden="1"/>
    </xf>
    <xf numFmtId="0" fontId="138" fillId="4" borderId="34" xfId="0" applyFont="1" applyFill="1" applyBorder="1" applyAlignment="1" applyProtection="1">
      <alignment horizontal="center" vertical="center"/>
      <protection hidden="1"/>
    </xf>
    <xf numFmtId="0" fontId="76" fillId="4" borderId="0" xfId="0" applyFont="1" applyFill="1" applyBorder="1" applyAlignment="1" applyProtection="1">
      <alignment horizontal="center"/>
      <protection hidden="1"/>
    </xf>
    <xf numFmtId="0" fontId="76" fillId="4" borderId="126" xfId="0" applyFont="1" applyFill="1" applyBorder="1" applyAlignment="1" applyProtection="1">
      <alignment horizontal="center"/>
      <protection hidden="1"/>
    </xf>
    <xf numFmtId="0" fontId="125" fillId="4" borderId="28" xfId="0" applyFont="1" applyFill="1" applyBorder="1" applyAlignment="1" applyProtection="1">
      <alignment horizontal="center" vertical="center" wrapText="1"/>
      <protection hidden="1"/>
    </xf>
    <xf numFmtId="0" fontId="125" fillId="4" borderId="133" xfId="0" applyFont="1" applyFill="1" applyBorder="1" applyAlignment="1" applyProtection="1">
      <alignment horizontal="center" vertical="center" wrapText="1"/>
      <protection hidden="1"/>
    </xf>
    <xf numFmtId="1" fontId="100" fillId="4" borderId="27" xfId="0" applyNumberFormat="1" applyFont="1" applyFill="1" applyBorder="1" applyAlignment="1" applyProtection="1">
      <alignment horizontal="center" vertical="center"/>
      <protection hidden="1"/>
    </xf>
    <xf numFmtId="1" fontId="100" fillId="4" borderId="61" xfId="0" applyNumberFormat="1" applyFont="1" applyFill="1" applyBorder="1" applyAlignment="1" applyProtection="1">
      <alignment horizontal="center" vertical="center"/>
      <protection hidden="1"/>
    </xf>
    <xf numFmtId="165" fontId="94" fillId="4" borderId="24" xfId="0" applyNumberFormat="1" applyFont="1" applyFill="1" applyBorder="1" applyAlignment="1" applyProtection="1">
      <alignment horizontal="center" vertical="center" wrapText="1"/>
      <protection hidden="1"/>
    </xf>
    <xf numFmtId="165" fontId="94" fillId="4" borderId="41" xfId="0" applyNumberFormat="1" applyFont="1" applyFill="1" applyBorder="1" applyAlignment="1" applyProtection="1">
      <alignment horizontal="center" vertical="center" wrapText="1"/>
      <protection hidden="1"/>
    </xf>
    <xf numFmtId="0" fontId="46" fillId="18" borderId="33" xfId="1" applyFont="1" applyFill="1" applyBorder="1" applyAlignment="1" applyProtection="1">
      <alignment horizontal="center" vertical="top" wrapText="1"/>
      <protection hidden="1"/>
    </xf>
    <xf numFmtId="0" fontId="46" fillId="18" borderId="37" xfId="1" applyFont="1" applyFill="1" applyBorder="1" applyAlignment="1" applyProtection="1">
      <alignment horizontal="center" vertical="top" wrapText="1"/>
      <protection hidden="1"/>
    </xf>
    <xf numFmtId="0" fontId="46" fillId="18" borderId="0" xfId="1" applyFont="1" applyFill="1" applyBorder="1" applyAlignment="1" applyProtection="1">
      <alignment horizontal="center" vertical="top" wrapText="1"/>
      <protection hidden="1"/>
    </xf>
    <xf numFmtId="0" fontId="46" fillId="18" borderId="126" xfId="1" applyFont="1" applyFill="1" applyBorder="1" applyAlignment="1" applyProtection="1">
      <alignment horizontal="center" vertical="top" wrapText="1"/>
      <protection hidden="1"/>
    </xf>
    <xf numFmtId="0" fontId="46" fillId="18" borderId="128" xfId="1" applyFont="1" applyFill="1" applyBorder="1" applyAlignment="1" applyProtection="1">
      <alignment horizontal="center" vertical="top" wrapText="1"/>
      <protection hidden="1"/>
    </xf>
    <xf numFmtId="0" fontId="46" fillId="18" borderId="129" xfId="1" applyFont="1" applyFill="1" applyBorder="1" applyAlignment="1" applyProtection="1">
      <alignment horizontal="center" vertical="top" wrapText="1"/>
      <protection hidden="1"/>
    </xf>
    <xf numFmtId="0" fontId="84" fillId="4" borderId="33" xfId="0" applyFont="1" applyFill="1" applyBorder="1" applyAlignment="1" applyProtection="1">
      <alignment horizontal="center" vertical="center" wrapText="1"/>
      <protection hidden="1"/>
    </xf>
    <xf numFmtId="0" fontId="84" fillId="4" borderId="37" xfId="0" applyFont="1" applyFill="1" applyBorder="1" applyAlignment="1" applyProtection="1">
      <alignment horizontal="center" vertical="center" wrapText="1"/>
      <protection hidden="1"/>
    </xf>
    <xf numFmtId="0" fontId="84" fillId="4" borderId="42" xfId="0" applyFont="1" applyFill="1" applyBorder="1" applyAlignment="1" applyProtection="1">
      <alignment horizontal="center" vertical="center" wrapText="1"/>
      <protection hidden="1"/>
    </xf>
    <xf numFmtId="0" fontId="84" fillId="4" borderId="43" xfId="0" applyFont="1" applyFill="1" applyBorder="1" applyAlignment="1" applyProtection="1">
      <alignment horizontal="center" vertical="center" wrapText="1"/>
      <protection hidden="1"/>
    </xf>
    <xf numFmtId="0" fontId="48" fillId="4" borderId="47" xfId="0" applyFont="1" applyFill="1" applyBorder="1" applyAlignment="1" applyProtection="1">
      <alignment horizontal="center" vertical="center" wrapText="1"/>
      <protection hidden="1"/>
    </xf>
    <xf numFmtId="0" fontId="48" fillId="4" borderId="50" xfId="0" applyFont="1" applyFill="1" applyBorder="1" applyAlignment="1" applyProtection="1">
      <alignment horizontal="center" vertical="center" wrapText="1"/>
      <protection hidden="1"/>
    </xf>
    <xf numFmtId="0" fontId="48" fillId="4" borderId="102" xfId="0" applyFont="1" applyFill="1" applyBorder="1" applyAlignment="1" applyProtection="1">
      <alignment horizontal="center" vertical="center" wrapText="1"/>
      <protection hidden="1"/>
    </xf>
    <xf numFmtId="0" fontId="94" fillId="4" borderId="134" xfId="0" applyFont="1" applyFill="1" applyBorder="1" applyAlignment="1" applyProtection="1">
      <alignment horizontal="center" vertical="center"/>
      <protection hidden="1"/>
    </xf>
    <xf numFmtId="0" fontId="94" fillId="4" borderId="138" xfId="0" applyFont="1" applyFill="1" applyBorder="1" applyAlignment="1" applyProtection="1">
      <alignment horizontal="center" vertical="center"/>
      <protection hidden="1"/>
    </xf>
    <xf numFmtId="0" fontId="94" fillId="4" borderId="133" xfId="0" applyFont="1" applyFill="1" applyBorder="1" applyAlignment="1" applyProtection="1">
      <alignment horizontal="center" vertical="center"/>
      <protection hidden="1"/>
    </xf>
    <xf numFmtId="0" fontId="94" fillId="4" borderId="48" xfId="0" applyFont="1" applyFill="1" applyBorder="1" applyAlignment="1" applyProtection="1">
      <alignment horizontal="center" vertical="center"/>
      <protection hidden="1"/>
    </xf>
    <xf numFmtId="0" fontId="94" fillId="4" borderId="46" xfId="0" applyFont="1" applyFill="1" applyBorder="1" applyAlignment="1" applyProtection="1">
      <alignment horizontal="center" vertical="center"/>
      <protection hidden="1"/>
    </xf>
    <xf numFmtId="0" fontId="94" fillId="4" borderId="61" xfId="0" applyFont="1" applyFill="1" applyBorder="1" applyAlignment="1" applyProtection="1">
      <alignment horizontal="center" vertical="center"/>
      <protection hidden="1"/>
    </xf>
    <xf numFmtId="0" fontId="84" fillId="4" borderId="134" xfId="0" applyFont="1" applyFill="1" applyBorder="1" applyAlignment="1" applyProtection="1">
      <alignment horizontal="center" vertical="center" wrapText="1"/>
      <protection hidden="1"/>
    </xf>
    <xf numFmtId="0" fontId="84" fillId="4" borderId="138" xfId="0" applyFont="1" applyFill="1" applyBorder="1" applyAlignment="1" applyProtection="1">
      <alignment horizontal="center" vertical="center" wrapText="1"/>
      <protection hidden="1"/>
    </xf>
    <xf numFmtId="0" fontId="84" fillId="4" borderId="133" xfId="0" applyFont="1" applyFill="1" applyBorder="1" applyAlignment="1" applyProtection="1">
      <alignment horizontal="center" vertical="center" wrapText="1"/>
      <protection hidden="1"/>
    </xf>
    <xf numFmtId="0" fontId="50" fillId="4" borderId="48" xfId="0" applyFont="1" applyFill="1" applyBorder="1" applyAlignment="1" applyProtection="1">
      <alignment horizontal="center" vertical="center" wrapText="1"/>
      <protection hidden="1"/>
    </xf>
    <xf numFmtId="0" fontId="50" fillId="4" borderId="46" xfId="0" applyFont="1" applyFill="1" applyBorder="1" applyAlignment="1" applyProtection="1">
      <alignment horizontal="center" vertical="center" wrapText="1"/>
      <protection hidden="1"/>
    </xf>
    <xf numFmtId="0" fontId="50" fillId="4" borderId="61" xfId="0" applyFont="1" applyFill="1" applyBorder="1" applyAlignment="1" applyProtection="1">
      <alignment horizontal="center" vertical="center" wrapText="1"/>
      <protection hidden="1"/>
    </xf>
    <xf numFmtId="0" fontId="84" fillId="4" borderId="48" xfId="0" applyFont="1" applyFill="1" applyBorder="1" applyAlignment="1" applyProtection="1">
      <alignment horizontal="center" vertical="center" wrapText="1"/>
      <protection hidden="1"/>
    </xf>
    <xf numFmtId="0" fontId="84" fillId="4" borderId="46" xfId="0" applyFont="1" applyFill="1" applyBorder="1" applyAlignment="1" applyProtection="1">
      <alignment horizontal="center" vertical="center" wrapText="1"/>
      <protection hidden="1"/>
    </xf>
    <xf numFmtId="0" fontId="84" fillId="4" borderId="61" xfId="0" applyFont="1" applyFill="1" applyBorder="1" applyAlignment="1" applyProtection="1">
      <alignment horizontal="center" vertical="center" wrapText="1"/>
      <protection hidden="1"/>
    </xf>
    <xf numFmtId="0" fontId="48" fillId="4" borderId="124" xfId="0" applyFont="1" applyFill="1" applyBorder="1" applyAlignment="1" applyProtection="1">
      <alignment horizontal="center" vertical="center" wrapText="1"/>
      <protection hidden="1"/>
    </xf>
    <xf numFmtId="0" fontId="48" fillId="4" borderId="122" xfId="0" applyFont="1" applyFill="1" applyBorder="1" applyAlignment="1" applyProtection="1">
      <alignment horizontal="center" vertical="center" wrapText="1"/>
      <protection hidden="1"/>
    </xf>
    <xf numFmtId="0" fontId="48" fillId="4" borderId="62" xfId="0" applyFont="1" applyFill="1" applyBorder="1" applyAlignment="1" applyProtection="1">
      <alignment horizontal="center" vertical="center" wrapText="1"/>
      <protection hidden="1"/>
    </xf>
    <xf numFmtId="0" fontId="140" fillId="4" borderId="30" xfId="0" applyFont="1" applyFill="1" applyBorder="1" applyAlignment="1" applyProtection="1">
      <alignment horizontal="center" vertical="center"/>
      <protection hidden="1"/>
    </xf>
    <xf numFmtId="0" fontId="140" fillId="4" borderId="31" xfId="0" applyFont="1" applyFill="1" applyBorder="1" applyAlignment="1" applyProtection="1">
      <alignment horizontal="center" vertical="center"/>
      <protection hidden="1"/>
    </xf>
    <xf numFmtId="0" fontId="140" fillId="4" borderId="32" xfId="0" applyFont="1" applyFill="1" applyBorder="1" applyAlignment="1" applyProtection="1">
      <alignment horizontal="center" vertical="center"/>
      <protection hidden="1"/>
    </xf>
    <xf numFmtId="165" fontId="0" fillId="7" borderId="0" xfId="0" applyNumberFormat="1" applyFill="1" applyAlignment="1" applyProtection="1">
      <alignment horizontal="center"/>
      <protection hidden="1"/>
    </xf>
    <xf numFmtId="165" fontId="34" fillId="7" borderId="0" xfId="0" applyNumberFormat="1" applyFont="1" applyFill="1" applyAlignment="1" applyProtection="1">
      <alignment horizontal="center" vertical="center"/>
      <protection hidden="1"/>
    </xf>
    <xf numFmtId="0" fontId="34" fillId="7" borderId="0" xfId="0" applyFont="1" applyFill="1" applyAlignment="1" applyProtection="1">
      <alignment horizontal="center" vertical="center"/>
      <protection hidden="1"/>
    </xf>
    <xf numFmtId="0" fontId="144" fillId="4" borderId="36" xfId="0" applyFont="1" applyFill="1" applyBorder="1" applyAlignment="1" applyProtection="1">
      <alignment horizontal="center" vertical="center" textRotation="90" wrapText="1"/>
      <protection hidden="1"/>
    </xf>
    <xf numFmtId="0" fontId="144" fillId="4" borderId="134" xfId="0" applyFont="1" applyFill="1" applyBorder="1" applyAlignment="1" applyProtection="1">
      <alignment horizontal="center" vertical="center" textRotation="90" wrapText="1"/>
      <protection hidden="1"/>
    </xf>
    <xf numFmtId="0" fontId="144" fillId="4" borderId="123" xfId="0" applyFont="1" applyFill="1" applyBorder="1" applyAlignment="1" applyProtection="1">
      <alignment horizontal="center" vertical="center" textRotation="90" wrapText="1"/>
      <protection hidden="1"/>
    </xf>
    <xf numFmtId="0" fontId="144" fillId="4" borderId="138" xfId="0" applyFont="1" applyFill="1" applyBorder="1" applyAlignment="1" applyProtection="1">
      <alignment horizontal="center" vertical="center" textRotation="90" wrapText="1"/>
      <protection hidden="1"/>
    </xf>
    <xf numFmtId="0" fontId="144" fillId="4" borderId="137" xfId="0" applyFont="1" applyFill="1" applyBorder="1" applyAlignment="1" applyProtection="1">
      <alignment horizontal="center" vertical="center" textRotation="90" wrapText="1"/>
      <protection hidden="1"/>
    </xf>
    <xf numFmtId="0" fontId="144" fillId="4" borderId="146" xfId="0" applyFont="1" applyFill="1" applyBorder="1" applyAlignment="1" applyProtection="1">
      <alignment horizontal="center" vertical="center" textRotation="90" wrapText="1"/>
      <protection hidden="1"/>
    </xf>
    <xf numFmtId="0" fontId="55" fillId="4" borderId="45" xfId="0" applyFont="1" applyFill="1" applyBorder="1" applyAlignment="1" applyProtection="1">
      <alignment horizontal="center" vertical="center" wrapText="1"/>
      <protection hidden="1"/>
    </xf>
    <xf numFmtId="0" fontId="55" fillId="4" borderId="23" xfId="0" applyFont="1" applyFill="1" applyBorder="1" applyAlignment="1" applyProtection="1">
      <alignment horizontal="center" vertical="center" wrapText="1"/>
      <protection hidden="1"/>
    </xf>
    <xf numFmtId="0" fontId="138" fillId="4" borderId="36" xfId="0" applyFont="1" applyFill="1" applyBorder="1" applyAlignment="1" applyProtection="1">
      <alignment horizontal="center" vertical="center" wrapText="1"/>
      <protection hidden="1"/>
    </xf>
    <xf numFmtId="0" fontId="138" fillId="4" borderId="134" xfId="0" applyFont="1" applyFill="1" applyBorder="1" applyAlignment="1" applyProtection="1">
      <alignment horizontal="center" vertical="center" wrapText="1"/>
      <protection hidden="1"/>
    </xf>
    <xf numFmtId="0" fontId="138" fillId="4" borderId="137" xfId="0" applyFont="1" applyFill="1" applyBorder="1" applyAlignment="1" applyProtection="1">
      <alignment horizontal="center" vertical="center" wrapText="1"/>
      <protection hidden="1"/>
    </xf>
    <xf numFmtId="0" fontId="138" fillId="4" borderId="146" xfId="0" applyFont="1" applyFill="1" applyBorder="1" applyAlignment="1" applyProtection="1">
      <alignment horizontal="center" vertical="center" wrapText="1"/>
      <protection hidden="1"/>
    </xf>
    <xf numFmtId="0" fontId="84" fillId="4" borderId="147" xfId="0" applyFont="1" applyFill="1" applyBorder="1" applyAlignment="1" applyProtection="1">
      <alignment horizontal="center" vertical="center" wrapText="1"/>
      <protection hidden="1"/>
    </xf>
    <xf numFmtId="0" fontId="84" fillId="4" borderId="28" xfId="0" applyFont="1" applyFill="1" applyBorder="1" applyAlignment="1" applyProtection="1">
      <alignment horizontal="center" vertical="center" wrapText="1"/>
      <protection hidden="1"/>
    </xf>
    <xf numFmtId="0" fontId="84" fillId="4" borderId="127" xfId="0" applyFont="1" applyFill="1" applyBorder="1" applyAlignment="1" applyProtection="1">
      <alignment horizontal="center" vertical="center" wrapText="1"/>
      <protection hidden="1"/>
    </xf>
    <xf numFmtId="165" fontId="1" fillId="0" borderId="49" xfId="0" applyNumberFormat="1" applyFont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Border="1" applyAlignment="1" applyProtection="1">
      <alignment horizontal="center" vertical="center" wrapText="1"/>
      <protection hidden="1"/>
    </xf>
    <xf numFmtId="165" fontId="1" fillId="0" borderId="29" xfId="0" applyNumberFormat="1" applyFont="1" applyBorder="1" applyAlignment="1" applyProtection="1">
      <alignment horizontal="center" vertical="center" wrapText="1"/>
      <protection hidden="1"/>
    </xf>
    <xf numFmtId="165" fontId="1" fillId="0" borderId="101" xfId="0" applyNumberFormat="1" applyFont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Border="1" applyAlignment="1" applyProtection="1">
      <alignment horizontal="center" vertical="center" wrapText="1"/>
      <protection hidden="1"/>
    </xf>
    <xf numFmtId="165" fontId="1" fillId="0" borderId="61" xfId="0" applyNumberFormat="1" applyFont="1" applyBorder="1" applyAlignment="1" applyProtection="1">
      <alignment horizontal="center" vertical="center" wrapText="1"/>
      <protection hidden="1"/>
    </xf>
    <xf numFmtId="0" fontId="94" fillId="4" borderId="54" xfId="0" applyFont="1" applyFill="1" applyBorder="1" applyAlignment="1" applyProtection="1">
      <alignment horizontal="center" wrapText="1"/>
      <protection hidden="1"/>
    </xf>
    <xf numFmtId="0" fontId="138" fillId="4" borderId="24" xfId="0" applyFont="1" applyFill="1" applyBorder="1" applyAlignment="1" applyProtection="1">
      <alignment horizontal="center" vertical="center"/>
      <protection hidden="1"/>
    </xf>
    <xf numFmtId="0" fontId="48" fillId="4" borderId="48" xfId="0" applyFont="1" applyFill="1" applyBorder="1" applyAlignment="1" applyProtection="1">
      <alignment horizontal="center" vertical="center" wrapText="1"/>
      <protection hidden="1"/>
    </xf>
    <xf numFmtId="0" fontId="48" fillId="4" borderId="46" xfId="0" applyFont="1" applyFill="1" applyBorder="1" applyAlignment="1" applyProtection="1">
      <alignment horizontal="center" vertical="center" wrapText="1"/>
      <protection hidden="1"/>
    </xf>
    <xf numFmtId="0" fontId="48" fillId="4" borderId="61" xfId="0" applyFont="1" applyFill="1" applyBorder="1" applyAlignment="1" applyProtection="1">
      <alignment horizontal="center" vertical="center" wrapText="1"/>
      <protection hidden="1"/>
    </xf>
    <xf numFmtId="0" fontId="138" fillId="4" borderId="21" xfId="0" applyFont="1" applyFill="1" applyBorder="1" applyAlignment="1" applyProtection="1">
      <alignment horizontal="center" vertical="center"/>
      <protection hidden="1"/>
    </xf>
    <xf numFmtId="0" fontId="47" fillId="4" borderId="139" xfId="0" applyFont="1" applyFill="1" applyBorder="1" applyAlignment="1" applyProtection="1">
      <alignment horizontal="center" vertical="center" wrapText="1"/>
      <protection hidden="1"/>
    </xf>
    <xf numFmtId="0" fontId="47" fillId="4" borderId="52" xfId="0" applyFont="1" applyFill="1" applyBorder="1" applyAlignment="1" applyProtection="1">
      <alignment horizontal="center" vertical="center" wrapText="1"/>
      <protection hidden="1"/>
    </xf>
    <xf numFmtId="0" fontId="125" fillId="4" borderId="100" xfId="0" applyFont="1" applyFill="1" applyBorder="1" applyAlignment="1" applyProtection="1">
      <alignment horizontal="center" vertical="center" wrapText="1"/>
      <protection hidden="1"/>
    </xf>
    <xf numFmtId="0" fontId="125" fillId="4" borderId="51" xfId="0" applyFont="1" applyFill="1" applyBorder="1" applyAlignment="1" applyProtection="1">
      <alignment horizontal="center" vertical="center" wrapText="1"/>
      <protection hidden="1"/>
    </xf>
    <xf numFmtId="0" fontId="48" fillId="4" borderId="36" xfId="0" applyFont="1" applyFill="1" applyBorder="1" applyAlignment="1" applyProtection="1">
      <alignment horizontal="center" vertical="center" wrapText="1"/>
      <protection hidden="1"/>
    </xf>
    <xf numFmtId="0" fontId="48" fillId="4" borderId="127" xfId="0" applyFont="1" applyFill="1" applyBorder="1" applyAlignment="1" applyProtection="1">
      <alignment horizontal="center" vertical="center" wrapText="1"/>
      <protection hidden="1"/>
    </xf>
    <xf numFmtId="0" fontId="84" fillId="4" borderId="36" xfId="0" applyFont="1" applyFill="1" applyBorder="1" applyAlignment="1" applyProtection="1">
      <alignment horizontal="center" vertical="center" wrapText="1"/>
      <protection hidden="1"/>
    </xf>
    <xf numFmtId="0" fontId="84" fillId="4" borderId="137" xfId="0" applyFont="1" applyFill="1" applyBorder="1" applyAlignment="1" applyProtection="1">
      <alignment horizontal="center" vertical="center" wrapText="1"/>
      <protection hidden="1"/>
    </xf>
    <xf numFmtId="0" fontId="125" fillId="4" borderId="102" xfId="0" applyFont="1" applyFill="1" applyBorder="1" applyAlignment="1" applyProtection="1">
      <alignment horizontal="center" vertical="center" wrapText="1"/>
      <protection hidden="1"/>
    </xf>
    <xf numFmtId="0" fontId="59" fillId="15" borderId="44" xfId="0" quotePrefix="1" applyFont="1" applyFill="1" applyBorder="1" applyAlignment="1" applyProtection="1">
      <alignment horizontal="center" vertical="center"/>
      <protection hidden="1"/>
    </xf>
    <xf numFmtId="0" fontId="174" fillId="11" borderId="123" xfId="0" applyFont="1" applyFill="1" applyBorder="1" applyAlignment="1" applyProtection="1">
      <alignment horizontal="center" vertical="center" wrapText="1"/>
      <protection hidden="1"/>
    </xf>
    <xf numFmtId="0" fontId="174" fillId="11" borderId="0" xfId="0" applyFont="1" applyFill="1" applyBorder="1" applyAlignment="1" applyProtection="1">
      <alignment horizontal="center" vertical="center" wrapText="1"/>
      <protection hidden="1"/>
    </xf>
    <xf numFmtId="0" fontId="174" fillId="11" borderId="126" xfId="0" applyFont="1" applyFill="1" applyBorder="1" applyAlignment="1" applyProtection="1">
      <alignment horizontal="center" vertical="center" wrapText="1"/>
      <protection hidden="1"/>
    </xf>
    <xf numFmtId="0" fontId="174" fillId="11" borderId="127" xfId="0" applyFont="1" applyFill="1" applyBorder="1" applyAlignment="1" applyProtection="1">
      <alignment horizontal="center" vertical="center" wrapText="1"/>
      <protection hidden="1"/>
    </xf>
    <xf numFmtId="0" fontId="174" fillId="11" borderId="128" xfId="0" applyFont="1" applyFill="1" applyBorder="1" applyAlignment="1" applyProtection="1">
      <alignment horizontal="center" vertical="center" wrapText="1"/>
      <protection hidden="1"/>
    </xf>
    <xf numFmtId="0" fontId="174" fillId="11" borderId="129" xfId="0" applyFont="1" applyFill="1" applyBorder="1" applyAlignment="1" applyProtection="1">
      <alignment horizontal="center" vertical="center" wrapText="1"/>
      <protection hidden="1"/>
    </xf>
    <xf numFmtId="0" fontId="138" fillId="4" borderId="36" xfId="0" applyFont="1" applyFill="1" applyBorder="1" applyAlignment="1" applyProtection="1">
      <alignment horizontal="center" wrapText="1"/>
      <protection hidden="1"/>
    </xf>
    <xf numFmtId="0" fontId="138" fillId="4" borderId="33" xfId="0" applyFont="1" applyFill="1" applyBorder="1" applyAlignment="1" applyProtection="1">
      <alignment horizontal="center" wrapText="1"/>
      <protection hidden="1"/>
    </xf>
    <xf numFmtId="0" fontId="138" fillId="4" borderId="37" xfId="0" applyFont="1" applyFill="1" applyBorder="1" applyAlignment="1" applyProtection="1">
      <alignment horizontal="center" wrapText="1"/>
      <protection hidden="1"/>
    </xf>
    <xf numFmtId="0" fontId="138" fillId="4" borderId="123" xfId="0" applyFont="1" applyFill="1" applyBorder="1" applyAlignment="1" applyProtection="1">
      <alignment horizontal="center" wrapText="1"/>
      <protection hidden="1"/>
    </xf>
    <xf numFmtId="0" fontId="138" fillId="4" borderId="0" xfId="0" applyFont="1" applyFill="1" applyBorder="1" applyAlignment="1" applyProtection="1">
      <alignment horizontal="center" wrapText="1"/>
      <protection hidden="1"/>
    </xf>
    <xf numFmtId="0" fontId="138" fillId="4" borderId="126" xfId="0" applyFont="1" applyFill="1" applyBorder="1" applyAlignment="1" applyProtection="1">
      <alignment horizontal="center" wrapText="1"/>
      <protection hidden="1"/>
    </xf>
    <xf numFmtId="0" fontId="59" fillId="15" borderId="45" xfId="0" quotePrefix="1" applyFont="1" applyFill="1" applyBorder="1" applyAlignment="1" applyProtection="1">
      <alignment horizontal="center" vertical="center"/>
      <protection hidden="1"/>
    </xf>
    <xf numFmtId="0" fontId="140" fillId="4" borderId="131" xfId="0" applyFont="1" applyFill="1" applyBorder="1" applyAlignment="1" applyProtection="1">
      <alignment horizontal="center" vertical="center"/>
      <protection hidden="1"/>
    </xf>
    <xf numFmtId="0" fontId="78" fillId="7" borderId="37" xfId="0" applyFont="1" applyFill="1" applyBorder="1" applyAlignment="1" applyProtection="1">
      <alignment horizontal="center" vertical="center"/>
      <protection hidden="1"/>
    </xf>
    <xf numFmtId="0" fontId="96" fillId="4" borderId="120" xfId="0" applyFont="1" applyFill="1" applyBorder="1" applyAlignment="1" applyProtection="1">
      <alignment horizontal="center" vertical="center" wrapText="1"/>
      <protection hidden="1"/>
    </xf>
    <xf numFmtId="0" fontId="96" fillId="4" borderId="121" xfId="0" applyFont="1" applyFill="1" applyBorder="1" applyAlignment="1" applyProtection="1">
      <alignment horizontal="center" vertical="center" wrapText="1"/>
      <protection hidden="1"/>
    </xf>
    <xf numFmtId="0" fontId="66" fillId="0" borderId="87" xfId="0" applyFont="1" applyBorder="1" applyAlignment="1" applyProtection="1">
      <alignment horizontal="left"/>
      <protection hidden="1"/>
    </xf>
    <xf numFmtId="0" fontId="66" fillId="0" borderId="0" xfId="0" applyFont="1" applyBorder="1" applyAlignment="1" applyProtection="1">
      <alignment horizontal="left"/>
      <protection hidden="1"/>
    </xf>
    <xf numFmtId="0" fontId="12" fillId="0" borderId="82" xfId="0" applyFont="1" applyBorder="1" applyAlignment="1" applyProtection="1">
      <alignment horizontal="left"/>
      <protection hidden="1"/>
    </xf>
    <xf numFmtId="0" fontId="12" fillId="0" borderId="5" xfId="0" applyFont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87" fillId="0" borderId="87" xfId="0" applyFont="1" applyBorder="1" applyAlignment="1" applyProtection="1">
      <alignment horizontal="center"/>
      <protection hidden="1"/>
    </xf>
    <xf numFmtId="0" fontId="87" fillId="0" borderId="0" xfId="0" applyFont="1" applyBorder="1" applyAlignment="1" applyProtection="1">
      <alignment horizontal="center"/>
      <protection hidden="1"/>
    </xf>
    <xf numFmtId="0" fontId="87" fillId="0" borderId="86" xfId="0" applyFont="1" applyBorder="1" applyAlignment="1" applyProtection="1">
      <alignment horizontal="center"/>
      <protection hidden="1"/>
    </xf>
    <xf numFmtId="0" fontId="87" fillId="0" borderId="93" xfId="0" applyFont="1" applyBorder="1" applyAlignment="1" applyProtection="1">
      <alignment horizontal="center"/>
      <protection hidden="1"/>
    </xf>
    <xf numFmtId="0" fontId="87" fillId="0" borderId="98" xfId="0" applyFont="1" applyBorder="1" applyAlignment="1" applyProtection="1">
      <alignment horizontal="center"/>
      <protection hidden="1"/>
    </xf>
    <xf numFmtId="0" fontId="87" fillId="0" borderId="99" xfId="0" applyFont="1" applyBorder="1" applyAlignment="1" applyProtection="1">
      <alignment horizontal="center"/>
      <protection hidden="1"/>
    </xf>
    <xf numFmtId="0" fontId="33" fillId="3" borderId="107" xfId="0" applyFont="1" applyFill="1" applyBorder="1" applyAlignment="1" applyProtection="1">
      <alignment horizontal="center"/>
      <protection hidden="1"/>
    </xf>
    <xf numFmtId="0" fontId="33" fillId="3" borderId="108" xfId="0" applyFont="1" applyFill="1" applyBorder="1" applyAlignment="1" applyProtection="1">
      <alignment horizontal="center"/>
      <protection hidden="1"/>
    </xf>
    <xf numFmtId="0" fontId="33" fillId="3" borderId="109" xfId="0" applyFont="1" applyFill="1" applyBorder="1" applyAlignment="1" applyProtection="1">
      <alignment horizontal="center"/>
      <protection hidden="1"/>
    </xf>
    <xf numFmtId="0" fontId="3" fillId="3" borderId="87" xfId="0" applyFont="1" applyFill="1" applyBorder="1" applyAlignment="1" applyProtection="1">
      <alignment horizontal="center" vertical="top" wrapText="1"/>
      <protection hidden="1"/>
    </xf>
    <xf numFmtId="0" fontId="3" fillId="3" borderId="0" xfId="0" applyFont="1" applyFill="1" applyBorder="1" applyAlignment="1" applyProtection="1">
      <alignment horizontal="center" vertical="top" wrapText="1"/>
      <protection hidden="1"/>
    </xf>
    <xf numFmtId="0" fontId="3" fillId="3" borderId="86" xfId="0" applyFont="1" applyFill="1" applyBorder="1" applyAlignment="1" applyProtection="1">
      <alignment horizontal="center" vertical="top" wrapText="1"/>
      <protection hidden="1"/>
    </xf>
    <xf numFmtId="0" fontId="83" fillId="0" borderId="6" xfId="0" applyFont="1" applyBorder="1" applyAlignment="1" applyProtection="1">
      <alignment horizontal="center" vertical="top" wrapText="1"/>
      <protection hidden="1"/>
    </xf>
    <xf numFmtId="0" fontId="83" fillId="0" borderId="9" xfId="0" applyFont="1" applyBorder="1" applyAlignment="1" applyProtection="1">
      <alignment horizontal="center" vertical="top" wrapText="1"/>
      <protection hidden="1"/>
    </xf>
    <xf numFmtId="0" fontId="83" fillId="0" borderId="81" xfId="0" applyFont="1" applyBorder="1" applyAlignment="1" applyProtection="1">
      <alignment horizontal="center" vertical="top" wrapText="1"/>
      <protection hidden="1"/>
    </xf>
    <xf numFmtId="0" fontId="12" fillId="0" borderId="80" xfId="0" applyFont="1" applyBorder="1" applyAlignment="1" applyProtection="1">
      <alignment horizontal="left"/>
      <protection hidden="1"/>
    </xf>
    <xf numFmtId="0" fontId="12" fillId="0" borderId="9" xfId="0" applyFont="1" applyBorder="1" applyAlignment="1" applyProtection="1">
      <alignment horizontal="left"/>
      <protection hidden="1"/>
    </xf>
    <xf numFmtId="0" fontId="66" fillId="0" borderId="87" xfId="0" applyFont="1" applyBorder="1" applyAlignment="1" applyProtection="1">
      <alignment horizontal="left" wrapText="1"/>
      <protection hidden="1"/>
    </xf>
    <xf numFmtId="0" fontId="66" fillId="0" borderId="0" xfId="0" applyFont="1" applyBorder="1" applyAlignment="1" applyProtection="1">
      <alignment horizontal="left" wrapText="1"/>
      <protection hidden="1"/>
    </xf>
    <xf numFmtId="0" fontId="28" fillId="0" borderId="0" xfId="0" applyFont="1" applyBorder="1" applyAlignment="1" applyProtection="1">
      <alignment horizontal="left"/>
      <protection hidden="1"/>
    </xf>
    <xf numFmtId="0" fontId="12" fillId="0" borderId="87" xfId="0" applyFont="1" applyBorder="1" applyAlignment="1" applyProtection="1">
      <alignment horizontal="left"/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4" fillId="0" borderId="4" xfId="0" applyNumberFormat="1" applyFont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1" fontId="21" fillId="0" borderId="58" xfId="0" applyNumberFormat="1" applyFont="1" applyBorder="1" applyAlignment="1" applyProtection="1">
      <alignment horizontal="center" vertical="center" wrapText="1"/>
      <protection hidden="1"/>
    </xf>
    <xf numFmtId="1" fontId="21" fillId="0" borderId="106" xfId="0" applyNumberFormat="1" applyFont="1" applyBorder="1" applyAlignment="1" applyProtection="1">
      <alignment horizontal="center" vertical="center" wrapText="1"/>
      <protection hidden="1"/>
    </xf>
    <xf numFmtId="1" fontId="21" fillId="0" borderId="59" xfId="0" applyNumberFormat="1" applyFont="1" applyBorder="1" applyAlignment="1" applyProtection="1">
      <alignment horizontal="center" vertical="center" wrapText="1"/>
      <protection hidden="1"/>
    </xf>
    <xf numFmtId="0" fontId="19" fillId="2" borderId="53" xfId="0" applyFont="1" applyFill="1" applyBorder="1" applyAlignment="1" applyProtection="1">
      <alignment horizontal="center" vertical="center" wrapText="1"/>
      <protection hidden="1"/>
    </xf>
    <xf numFmtId="0" fontId="19" fillId="2" borderId="57" xfId="0" applyFont="1" applyFill="1" applyBorder="1" applyAlignment="1" applyProtection="1">
      <alignment horizontal="center" vertical="center" wrapText="1"/>
      <protection hidden="1"/>
    </xf>
    <xf numFmtId="0" fontId="16" fillId="6" borderId="79" xfId="0" applyFont="1" applyFill="1" applyBorder="1" applyAlignment="1" applyProtection="1">
      <alignment horizontal="center" wrapText="1"/>
      <protection hidden="1"/>
    </xf>
    <xf numFmtId="0" fontId="16" fillId="6" borderId="4" xfId="0" applyFont="1" applyFill="1" applyBorder="1" applyAlignment="1" applyProtection="1">
      <alignment horizontal="center" wrapText="1"/>
      <protection hidden="1"/>
    </xf>
    <xf numFmtId="0" fontId="16" fillId="0" borderId="2" xfId="0" applyNumberFormat="1" applyFont="1" applyBorder="1" applyAlignment="1" applyProtection="1">
      <alignment horizontal="center" wrapText="1"/>
      <protection hidden="1"/>
    </xf>
    <xf numFmtId="0" fontId="16" fillId="0" borderId="3" xfId="0" applyNumberFormat="1" applyFont="1" applyBorder="1" applyAlignment="1" applyProtection="1">
      <alignment horizontal="center" wrapText="1"/>
      <protection hidden="1"/>
    </xf>
    <xf numFmtId="0" fontId="16" fillId="0" borderId="4" xfId="0" applyNumberFormat="1" applyFont="1" applyBorder="1" applyAlignment="1" applyProtection="1">
      <alignment horizontal="center" wrapText="1"/>
      <protection hidden="1"/>
    </xf>
    <xf numFmtId="1" fontId="16" fillId="0" borderId="79" xfId="0" applyNumberFormat="1" applyFont="1" applyBorder="1" applyAlignment="1" applyProtection="1">
      <alignment horizontal="center" vertical="center" wrapText="1"/>
      <protection hidden="1"/>
    </xf>
    <xf numFmtId="1" fontId="16" fillId="0" borderId="4" xfId="0" applyNumberFormat="1" applyFont="1" applyBorder="1" applyAlignment="1" applyProtection="1">
      <alignment horizontal="center" vertical="center" wrapText="1"/>
      <protection hidden="1"/>
    </xf>
    <xf numFmtId="1" fontId="16" fillId="21" borderId="2" xfId="0" applyNumberFormat="1" applyFont="1" applyFill="1" applyBorder="1" applyAlignment="1" applyProtection="1">
      <alignment horizontal="center" vertical="center" wrapText="1"/>
      <protection locked="0"/>
    </xf>
    <xf numFmtId="1" fontId="16" fillId="21" borderId="4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2" xfId="0" applyNumberFormat="1" applyFont="1" applyBorder="1" applyAlignment="1" applyProtection="1">
      <alignment horizontal="center" vertical="center" wrapText="1"/>
      <protection hidden="1"/>
    </xf>
    <xf numFmtId="1" fontId="16" fillId="0" borderId="3" xfId="0" applyNumberFormat="1" applyFont="1" applyBorder="1" applyAlignment="1" applyProtection="1">
      <alignment horizontal="center" vertical="center" wrapText="1"/>
      <protection hidden="1"/>
    </xf>
    <xf numFmtId="1" fontId="16" fillId="0" borderId="78" xfId="0" applyNumberFormat="1" applyFont="1" applyBorder="1" applyAlignment="1" applyProtection="1">
      <alignment horizontal="center" vertical="center" wrapText="1"/>
      <protection hidden="1"/>
    </xf>
    <xf numFmtId="0" fontId="8" fillId="0" borderId="79" xfId="0" applyFont="1" applyBorder="1" applyAlignment="1" applyProtection="1">
      <alignment horizontal="center" wrapText="1"/>
      <protection hidden="1"/>
    </xf>
    <xf numFmtId="0" fontId="8" fillId="0" borderId="3" xfId="0" applyFont="1" applyBorder="1" applyAlignment="1" applyProtection="1">
      <alignment horizontal="center" wrapText="1"/>
      <protection hidden="1"/>
    </xf>
    <xf numFmtId="0" fontId="8" fillId="0" borderId="78" xfId="0" applyFont="1" applyBorder="1" applyAlignment="1" applyProtection="1">
      <alignment horizontal="center" wrapText="1"/>
      <protection hidden="1"/>
    </xf>
    <xf numFmtId="0" fontId="65" fillId="2" borderId="79" xfId="0" applyFont="1" applyFill="1" applyBorder="1" applyAlignment="1" applyProtection="1">
      <alignment horizontal="center" vertical="center" wrapText="1"/>
      <protection hidden="1"/>
    </xf>
    <xf numFmtId="0" fontId="65" fillId="2" borderId="4" xfId="0" applyFont="1" applyFill="1" applyBorder="1" applyAlignment="1" applyProtection="1">
      <alignment horizontal="center" vertical="center" wrapText="1"/>
      <protection hidden="1"/>
    </xf>
    <xf numFmtId="0" fontId="65" fillId="2" borderId="2" xfId="0" applyFont="1" applyFill="1" applyBorder="1" applyAlignment="1" applyProtection="1">
      <alignment horizontal="center" vertical="center" wrapText="1"/>
      <protection hidden="1"/>
    </xf>
    <xf numFmtId="0" fontId="65" fillId="2" borderId="3" xfId="0" applyFont="1" applyFill="1" applyBorder="1" applyAlignment="1" applyProtection="1">
      <alignment horizontal="center" vertical="center" wrapText="1"/>
      <protection hidden="1"/>
    </xf>
    <xf numFmtId="2" fontId="65" fillId="2" borderId="2" xfId="0" applyNumberFormat="1" applyFont="1" applyFill="1" applyBorder="1" applyAlignment="1" applyProtection="1">
      <alignment horizontal="center" vertical="center" wrapText="1"/>
      <protection hidden="1"/>
    </xf>
    <xf numFmtId="2" fontId="65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65" fillId="2" borderId="78" xfId="0" applyNumberFormat="1" applyFont="1" applyFill="1" applyBorder="1" applyAlignment="1" applyProtection="1">
      <alignment horizontal="center" vertical="center" wrapText="1"/>
      <protection hidden="1"/>
    </xf>
    <xf numFmtId="2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2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9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88" xfId="0" applyFont="1" applyFill="1" applyBorder="1" applyAlignment="1" applyProtection="1">
      <alignment horizontal="left" vertical="top" wrapText="1"/>
      <protection hidden="1"/>
    </xf>
    <xf numFmtId="0" fontId="12" fillId="2" borderId="10" xfId="0" applyFont="1" applyFill="1" applyBorder="1" applyAlignment="1" applyProtection="1">
      <alignment horizontal="left" vertical="top" wrapText="1"/>
      <protection hidden="1"/>
    </xf>
    <xf numFmtId="0" fontId="12" fillId="2" borderId="98" xfId="0" applyFont="1" applyFill="1" applyBorder="1" applyAlignment="1" applyProtection="1">
      <alignment horizontal="left" vertical="top" wrapText="1"/>
      <protection hidden="1"/>
    </xf>
    <xf numFmtId="0" fontId="12" fillId="2" borderId="99" xfId="0" applyFont="1" applyFill="1" applyBorder="1" applyAlignment="1" applyProtection="1">
      <alignment horizontal="left" vertical="top" wrapText="1"/>
      <protection hidden="1"/>
    </xf>
    <xf numFmtId="0" fontId="11" fillId="2" borderId="79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32" fillId="21" borderId="7" xfId="0" applyFont="1" applyFill="1" applyBorder="1" applyAlignment="1" applyProtection="1">
      <alignment horizontal="center" vertical="center" wrapText="1"/>
      <protection locked="0"/>
    </xf>
    <xf numFmtId="0" fontId="133" fillId="21" borderId="0" xfId="0" applyFont="1" applyFill="1" applyBorder="1" applyAlignment="1" applyProtection="1">
      <alignment horizontal="center" vertical="center" wrapText="1"/>
      <protection locked="0"/>
    </xf>
    <xf numFmtId="0" fontId="133" fillId="21" borderId="86" xfId="0" applyFont="1" applyFill="1" applyBorder="1" applyAlignment="1" applyProtection="1">
      <alignment horizontal="center" vertical="center" wrapText="1"/>
      <protection locked="0"/>
    </xf>
    <xf numFmtId="0" fontId="133" fillId="21" borderId="8" xfId="0" applyFont="1" applyFill="1" applyBorder="1" applyAlignment="1" applyProtection="1">
      <alignment horizontal="center" vertical="center" wrapText="1"/>
      <protection locked="0"/>
    </xf>
    <xf numFmtId="0" fontId="133" fillId="21" borderId="5" xfId="0" applyFont="1" applyFill="1" applyBorder="1" applyAlignment="1" applyProtection="1">
      <alignment horizontal="center" vertical="center" wrapText="1"/>
      <protection locked="0"/>
    </xf>
    <xf numFmtId="0" fontId="9" fillId="2" borderId="79" xfId="0" applyFont="1" applyFill="1" applyBorder="1" applyAlignment="1" applyProtection="1">
      <alignment horizontal="center" vertical="center" wrapText="1"/>
      <protection hidden="1"/>
    </xf>
    <xf numFmtId="2" fontId="22" fillId="2" borderId="8" xfId="0" applyNumberFormat="1" applyFont="1" applyFill="1" applyBorder="1" applyAlignment="1" applyProtection="1">
      <alignment horizontal="center" vertical="center" wrapText="1"/>
      <protection hidden="1"/>
    </xf>
    <xf numFmtId="2" fontId="22" fillId="2" borderId="57" xfId="0" applyNumberFormat="1" applyFont="1" applyFill="1" applyBorder="1" applyAlignment="1" applyProtection="1">
      <alignment horizontal="center" vertical="center" wrapText="1"/>
      <protection hidden="1"/>
    </xf>
    <xf numFmtId="0" fontId="20" fillId="21" borderId="1" xfId="0" applyFont="1" applyFill="1" applyBorder="1" applyAlignment="1" applyProtection="1">
      <alignment horizontal="center" vertical="center" wrapText="1"/>
      <protection locked="0"/>
    </xf>
    <xf numFmtId="0" fontId="8" fillId="0" borderId="76" xfId="0" applyFont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0" fontId="22" fillId="2" borderId="79" xfId="0" applyFont="1" applyFill="1" applyBorder="1" applyAlignment="1" applyProtection="1">
      <alignment horizontal="center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  <protection hidden="1"/>
    </xf>
    <xf numFmtId="0" fontId="22" fillId="2" borderId="4" xfId="0" applyFont="1" applyFill="1" applyBorder="1" applyAlignment="1" applyProtection="1">
      <alignment horizontal="center" vertical="center" wrapText="1"/>
      <protection hidden="1"/>
    </xf>
    <xf numFmtId="2" fontId="22" fillId="2" borderId="6" xfId="0" applyNumberFormat="1" applyFont="1" applyFill="1" applyBorder="1" applyAlignment="1" applyProtection="1">
      <alignment horizontal="center" wrapText="1"/>
      <protection hidden="1"/>
    </xf>
    <xf numFmtId="2" fontId="22" fillId="2" borderId="53" xfId="0" applyNumberFormat="1" applyFont="1" applyFill="1" applyBorder="1" applyAlignment="1" applyProtection="1">
      <alignment horizontal="center" wrapText="1"/>
      <protection hidden="1"/>
    </xf>
    <xf numFmtId="2" fontId="77" fillId="2" borderId="6" xfId="0" applyNumberFormat="1" applyFont="1" applyFill="1" applyBorder="1" applyAlignment="1" applyProtection="1">
      <alignment horizontal="center" vertical="center" wrapText="1"/>
      <protection hidden="1"/>
    </xf>
    <xf numFmtId="2" fontId="77" fillId="2" borderId="53" xfId="0" applyNumberFormat="1" applyFont="1" applyFill="1" applyBorder="1" applyAlignment="1" applyProtection="1">
      <alignment horizontal="center" vertical="center" wrapText="1"/>
      <protection hidden="1"/>
    </xf>
    <xf numFmtId="2" fontId="77" fillId="2" borderId="7" xfId="0" applyNumberFormat="1" applyFont="1" applyFill="1" applyBorder="1" applyAlignment="1" applyProtection="1">
      <alignment horizontal="center" vertical="center" wrapText="1"/>
      <protection hidden="1"/>
    </xf>
    <xf numFmtId="2" fontId="77" fillId="2" borderId="64" xfId="0" applyNumberFormat="1" applyFont="1" applyFill="1" applyBorder="1" applyAlignment="1" applyProtection="1">
      <alignment horizontal="center" vertical="center" wrapText="1"/>
      <protection hidden="1"/>
    </xf>
    <xf numFmtId="2" fontId="77" fillId="2" borderId="8" xfId="0" applyNumberFormat="1" applyFont="1" applyFill="1" applyBorder="1" applyAlignment="1" applyProtection="1">
      <alignment horizontal="center" vertical="center" wrapText="1"/>
      <protection hidden="1"/>
    </xf>
    <xf numFmtId="2" fontId="77" fillId="2" borderId="57" xfId="0" applyNumberFormat="1" applyFont="1" applyFill="1" applyBorder="1" applyAlignment="1" applyProtection="1">
      <alignment horizontal="center" vertical="center" wrapText="1"/>
      <protection hidden="1"/>
    </xf>
    <xf numFmtId="2" fontId="20" fillId="2" borderId="7" xfId="0" applyNumberFormat="1" applyFont="1" applyFill="1" applyBorder="1" applyAlignment="1" applyProtection="1">
      <alignment horizontal="center" wrapText="1"/>
      <protection hidden="1"/>
    </xf>
    <xf numFmtId="2" fontId="20" fillId="2" borderId="64" xfId="0" applyNumberFormat="1" applyFont="1" applyFill="1" applyBorder="1" applyAlignment="1" applyProtection="1">
      <alignment horizontal="center" wrapText="1"/>
      <protection hidden="1"/>
    </xf>
    <xf numFmtId="2" fontId="22" fillId="2" borderId="58" xfId="0" applyNumberFormat="1" applyFont="1" applyFill="1" applyBorder="1" applyAlignment="1" applyProtection="1">
      <alignment horizontal="center" vertical="center" wrapText="1"/>
      <protection hidden="1"/>
    </xf>
    <xf numFmtId="2" fontId="22" fillId="2" borderId="106" xfId="0" applyNumberFormat="1" applyFont="1" applyFill="1" applyBorder="1" applyAlignment="1" applyProtection="1">
      <alignment horizontal="center" vertical="center" wrapText="1"/>
      <protection hidden="1"/>
    </xf>
    <xf numFmtId="2" fontId="22" fillId="2" borderId="59" xfId="0" applyNumberFormat="1" applyFont="1" applyFill="1" applyBorder="1" applyAlignment="1" applyProtection="1">
      <alignment horizontal="center" vertical="center" wrapText="1"/>
      <protection hidden="1"/>
    </xf>
    <xf numFmtId="2" fontId="65" fillId="2" borderId="6" xfId="0" applyNumberFormat="1" applyFont="1" applyFill="1" applyBorder="1" applyAlignment="1" applyProtection="1">
      <alignment horizontal="center" vertical="center" wrapText="1"/>
      <protection hidden="1"/>
    </xf>
    <xf numFmtId="2" fontId="65" fillId="2" borderId="9" xfId="0" applyNumberFormat="1" applyFont="1" applyFill="1" applyBorder="1" applyAlignment="1" applyProtection="1">
      <alignment horizontal="center" vertical="center" wrapText="1"/>
      <protection hidden="1"/>
    </xf>
    <xf numFmtId="2" fontId="65" fillId="2" borderId="81" xfId="0" applyNumberFormat="1" applyFont="1" applyFill="1" applyBorder="1" applyAlignment="1" applyProtection="1">
      <alignment horizontal="center" vertical="center" wrapText="1"/>
      <protection hidden="1"/>
    </xf>
    <xf numFmtId="2" fontId="65" fillId="2" borderId="7" xfId="0" applyNumberFormat="1" applyFont="1" applyFill="1" applyBorder="1" applyAlignment="1" applyProtection="1">
      <alignment horizontal="center" vertical="center" wrapText="1"/>
      <protection hidden="1"/>
    </xf>
    <xf numFmtId="2" fontId="65" fillId="2" borderId="0" xfId="0" applyNumberFormat="1" applyFont="1" applyFill="1" applyBorder="1" applyAlignment="1" applyProtection="1">
      <alignment horizontal="center" vertical="center" wrapText="1"/>
      <protection hidden="1"/>
    </xf>
    <xf numFmtId="2" fontId="65" fillId="2" borderId="86" xfId="0" applyNumberFormat="1" applyFont="1" applyFill="1" applyBorder="1" applyAlignment="1" applyProtection="1">
      <alignment horizontal="center" vertical="center" wrapText="1"/>
      <protection hidden="1"/>
    </xf>
    <xf numFmtId="2" fontId="65" fillId="2" borderId="8" xfId="0" applyNumberFormat="1" applyFont="1" applyFill="1" applyBorder="1" applyAlignment="1" applyProtection="1">
      <alignment horizontal="center" vertical="center" wrapText="1"/>
      <protection hidden="1"/>
    </xf>
    <xf numFmtId="2" fontId="65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65" fillId="2" borderId="83" xfId="0" applyNumberFormat="1" applyFont="1" applyFill="1" applyBorder="1" applyAlignment="1" applyProtection="1">
      <alignment horizontal="center" vertical="center" wrapText="1"/>
      <protection hidden="1"/>
    </xf>
    <xf numFmtId="1" fontId="16" fillId="0" borderId="1" xfId="0" applyNumberFormat="1" applyFont="1" applyBorder="1" applyAlignment="1" applyProtection="1">
      <alignment horizontal="center" vertical="center" wrapText="1"/>
      <protection hidden="1"/>
    </xf>
    <xf numFmtId="1" fontId="21" fillId="0" borderId="1" xfId="0" applyNumberFormat="1" applyFont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9" fillId="2" borderId="78" xfId="0" applyFont="1" applyFill="1" applyBorder="1" applyAlignment="1" applyProtection="1">
      <alignment horizontal="center" vertical="center" wrapText="1"/>
      <protection hidden="1"/>
    </xf>
    <xf numFmtId="0" fontId="25" fillId="2" borderId="2" xfId="0" applyFont="1" applyFill="1" applyBorder="1" applyAlignment="1" applyProtection="1">
      <alignment horizontal="center" vertical="center" wrapText="1"/>
      <protection hidden="1"/>
    </xf>
    <xf numFmtId="0" fontId="25" fillId="2" borderId="3" xfId="0" applyFont="1" applyFill="1" applyBorder="1" applyAlignment="1" applyProtection="1">
      <alignment horizontal="center" vertical="center" wrapText="1"/>
      <protection hidden="1"/>
    </xf>
    <xf numFmtId="0" fontId="25" fillId="2" borderId="4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78" xfId="0" applyFont="1" applyBorder="1" applyAlignment="1" applyProtection="1">
      <alignment horizontal="center" vertical="center" wrapText="1"/>
      <protection hidden="1"/>
    </xf>
    <xf numFmtId="1" fontId="1" fillId="0" borderId="2" xfId="0" applyNumberFormat="1" applyFont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wrapText="1"/>
      <protection hidden="1"/>
    </xf>
    <xf numFmtId="0" fontId="17" fillId="0" borderId="78" xfId="0" applyFont="1" applyBorder="1" applyAlignment="1" applyProtection="1">
      <alignment horizontal="center" wrapText="1"/>
      <protection hidden="1"/>
    </xf>
    <xf numFmtId="1" fontId="16" fillId="0" borderId="76" xfId="0" applyNumberFormat="1" applyFont="1" applyBorder="1" applyAlignment="1" applyProtection="1">
      <alignment horizontal="center" vertical="center" wrapText="1"/>
      <protection hidden="1"/>
    </xf>
    <xf numFmtId="165" fontId="4" fillId="0" borderId="78" xfId="0" applyNumberFormat="1" applyFont="1" applyBorder="1" applyAlignment="1" applyProtection="1">
      <alignment horizontal="center" vertical="center" wrapText="1"/>
      <protection hidden="1"/>
    </xf>
    <xf numFmtId="0" fontId="8" fillId="2" borderId="79" xfId="0" applyFont="1" applyFill="1" applyBorder="1" applyAlignment="1" applyProtection="1">
      <alignment horizontal="center" wrapText="1"/>
      <protection hidden="1"/>
    </xf>
    <xf numFmtId="0" fontId="8" fillId="2" borderId="4" xfId="0" applyFont="1" applyFill="1" applyBorder="1" applyAlignment="1" applyProtection="1">
      <alignment horizontal="center" wrapText="1"/>
      <protection hidden="1"/>
    </xf>
    <xf numFmtId="165" fontId="4" fillId="0" borderId="2" xfId="0" applyNumberFormat="1" applyFont="1" applyBorder="1" applyAlignment="1" applyProtection="1">
      <alignment horizontal="center" wrapText="1"/>
      <protection hidden="1"/>
    </xf>
    <xf numFmtId="165" fontId="4" fillId="0" borderId="78" xfId="0" applyNumberFormat="1" applyFont="1" applyBorder="1" applyAlignment="1" applyProtection="1">
      <alignment horizontal="center" wrapText="1"/>
      <protection hidden="1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5" fillId="2" borderId="4" xfId="0" applyFont="1" applyFill="1" applyBorder="1" applyAlignment="1" applyProtection="1">
      <alignment horizontal="center" vertical="center" wrapText="1"/>
      <protection hidden="1"/>
    </xf>
    <xf numFmtId="0" fontId="15" fillId="2" borderId="78" xfId="0" applyFont="1" applyFill="1" applyBorder="1" applyAlignment="1" applyProtection="1">
      <alignment horizontal="center" vertical="center" wrapText="1"/>
      <protection hidden="1"/>
    </xf>
    <xf numFmtId="170" fontId="20" fillId="0" borderId="2" xfId="0" applyNumberFormat="1" applyFont="1" applyBorder="1" applyAlignment="1" applyProtection="1">
      <alignment horizontal="center" vertical="center" wrapText="1"/>
      <protection hidden="1"/>
    </xf>
    <xf numFmtId="170" fontId="20" fillId="0" borderId="4" xfId="0" applyNumberFormat="1" applyFont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center" vertical="center" wrapText="1"/>
      <protection hidden="1"/>
    </xf>
    <xf numFmtId="0" fontId="9" fillId="2" borderId="53" xfId="0" applyFont="1" applyFill="1" applyBorder="1" applyAlignment="1" applyProtection="1">
      <alignment horizontal="center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9" fillId="2" borderId="57" xfId="0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1" fontId="4" fillId="0" borderId="2" xfId="0" applyNumberFormat="1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9" fillId="2" borderId="58" xfId="0" applyFont="1" applyFill="1" applyBorder="1" applyAlignment="1" applyProtection="1">
      <alignment horizontal="center" vertical="center" wrapText="1"/>
      <protection hidden="1"/>
    </xf>
    <xf numFmtId="0" fontId="9" fillId="2" borderId="59" xfId="0" applyFont="1" applyFill="1" applyBorder="1" applyAlignment="1" applyProtection="1">
      <alignment horizontal="center" vertical="center" wrapText="1"/>
      <protection hidden="1"/>
    </xf>
    <xf numFmtId="0" fontId="72" fillId="2" borderId="58" xfId="0" applyFont="1" applyFill="1" applyBorder="1" applyAlignment="1" applyProtection="1">
      <alignment horizontal="center" vertical="center" wrapText="1"/>
      <protection hidden="1"/>
    </xf>
    <xf numFmtId="0" fontId="72" fillId="2" borderId="59" xfId="0" applyFont="1" applyFill="1" applyBorder="1" applyAlignment="1" applyProtection="1">
      <alignment horizontal="center" vertical="center" wrapText="1"/>
      <protection hidden="1"/>
    </xf>
    <xf numFmtId="0" fontId="72" fillId="2" borderId="6" xfId="0" applyFont="1" applyFill="1" applyBorder="1" applyAlignment="1" applyProtection="1">
      <alignment horizontal="center" vertical="center" wrapText="1"/>
      <protection hidden="1"/>
    </xf>
    <xf numFmtId="0" fontId="72" fillId="2" borderId="81" xfId="0" applyFont="1" applyFill="1" applyBorder="1" applyAlignment="1" applyProtection="1">
      <alignment horizontal="center" vertical="center" wrapText="1"/>
      <protection hidden="1"/>
    </xf>
    <xf numFmtId="0" fontId="72" fillId="2" borderId="8" xfId="0" applyFont="1" applyFill="1" applyBorder="1" applyAlignment="1" applyProtection="1">
      <alignment horizontal="center" vertical="center" wrapText="1"/>
      <protection hidden="1"/>
    </xf>
    <xf numFmtId="0" fontId="72" fillId="2" borderId="83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53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57" xfId="0" applyFont="1" applyFill="1" applyBorder="1" applyAlignment="1" applyProtection="1">
      <alignment horizontal="center" vertical="center" wrapText="1"/>
      <protection hidden="1"/>
    </xf>
    <xf numFmtId="173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173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170" fontId="2" fillId="0" borderId="2" xfId="0" applyNumberFormat="1" applyFont="1" applyBorder="1" applyAlignment="1" applyProtection="1">
      <alignment horizontal="center" vertical="center" wrapText="1"/>
      <protection hidden="1"/>
    </xf>
    <xf numFmtId="170" fontId="2" fillId="0" borderId="3" xfId="0" applyNumberFormat="1" applyFont="1" applyBorder="1" applyAlignment="1" applyProtection="1">
      <alignment horizontal="center" vertical="center" wrapText="1"/>
      <protection hidden="1"/>
    </xf>
    <xf numFmtId="170" fontId="2" fillId="0" borderId="4" xfId="0" applyNumberFormat="1" applyFont="1" applyBorder="1" applyAlignment="1" applyProtection="1">
      <alignment horizontal="center" vertical="center" wrapText="1"/>
      <protection hidden="1"/>
    </xf>
    <xf numFmtId="0" fontId="9" fillId="2" borderId="84" xfId="0" applyFont="1" applyFill="1" applyBorder="1" applyAlignment="1" applyProtection="1">
      <alignment horizontal="center" vertical="center" wrapText="1"/>
      <protection hidden="1"/>
    </xf>
    <xf numFmtId="0" fontId="9" fillId="2" borderId="85" xfId="0" applyFont="1" applyFill="1" applyBorder="1" applyAlignment="1" applyProtection="1">
      <alignment horizontal="center" vertical="center" wrapText="1"/>
      <protection hidden="1"/>
    </xf>
    <xf numFmtId="0" fontId="11" fillId="2" borderId="58" xfId="0" applyFont="1" applyFill="1" applyBorder="1" applyAlignment="1" applyProtection="1">
      <alignment horizontal="center" vertical="center" wrapText="1"/>
      <protection hidden="1"/>
    </xf>
    <xf numFmtId="0" fontId="11" fillId="2" borderId="59" xfId="0" applyFont="1" applyFill="1" applyBorder="1" applyAlignment="1" applyProtection="1">
      <alignment horizontal="center" vertical="center" wrapText="1"/>
      <protection hidden="1"/>
    </xf>
    <xf numFmtId="14" fontId="22" fillId="2" borderId="6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8" xfId="0" applyFont="1" applyFill="1" applyBorder="1" applyAlignment="1" applyProtection="1">
      <alignment horizontal="right" vertical="center" wrapText="1"/>
      <protection hidden="1"/>
    </xf>
    <xf numFmtId="0" fontId="65" fillId="2" borderId="53" xfId="0" applyFont="1" applyFill="1" applyBorder="1" applyAlignment="1" applyProtection="1">
      <alignment horizontal="left" vertical="center" wrapText="1"/>
      <protection hidden="1"/>
    </xf>
    <xf numFmtId="0" fontId="65" fillId="2" borderId="57" xfId="0" applyFont="1" applyFill="1" applyBorder="1" applyAlignment="1" applyProtection="1">
      <alignment horizontal="left" vertical="center" wrapText="1"/>
      <protection hidden="1"/>
    </xf>
    <xf numFmtId="0" fontId="72" fillId="2" borderId="53" xfId="0" applyFont="1" applyFill="1" applyBorder="1" applyAlignment="1" applyProtection="1">
      <alignment horizontal="center" vertical="center" wrapText="1"/>
      <protection hidden="1"/>
    </xf>
    <xf numFmtId="0" fontId="72" fillId="2" borderId="57" xfId="0" applyFont="1" applyFill="1" applyBorder="1" applyAlignment="1" applyProtection="1">
      <alignment horizontal="center" vertical="center" wrapText="1"/>
      <protection hidden="1"/>
    </xf>
    <xf numFmtId="0" fontId="85" fillId="2" borderId="80" xfId="0" applyFont="1" applyFill="1" applyBorder="1" applyAlignment="1" applyProtection="1">
      <alignment horizontal="center" vertical="center" wrapText="1"/>
      <protection hidden="1"/>
    </xf>
    <xf numFmtId="0" fontId="85" fillId="2" borderId="53" xfId="0" applyFont="1" applyFill="1" applyBorder="1" applyAlignment="1" applyProtection="1">
      <alignment horizontal="center" vertical="center" wrapText="1"/>
      <protection hidden="1"/>
    </xf>
    <xf numFmtId="0" fontId="85" fillId="2" borderId="82" xfId="0" applyFont="1" applyFill="1" applyBorder="1" applyAlignment="1" applyProtection="1">
      <alignment horizontal="center" vertical="center" wrapText="1"/>
      <protection hidden="1"/>
    </xf>
    <xf numFmtId="0" fontId="85" fillId="2" borderId="57" xfId="0" applyFont="1" applyFill="1" applyBorder="1" applyAlignment="1" applyProtection="1">
      <alignment horizontal="center" vertical="center" wrapText="1"/>
      <protection hidden="1"/>
    </xf>
    <xf numFmtId="0" fontId="15" fillId="0" borderId="76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7" borderId="86" xfId="0" applyFill="1" applyBorder="1" applyAlignment="1" applyProtection="1">
      <alignment horizontal="center"/>
      <protection hidden="1"/>
    </xf>
    <xf numFmtId="0" fontId="1" fillId="0" borderId="79" xfId="0" applyFont="1" applyBorder="1" applyAlignment="1" applyProtection="1">
      <alignment horizontal="center" wrapText="1"/>
      <protection hidden="1"/>
    </xf>
    <xf numFmtId="0" fontId="0" fillId="0" borderId="3" xfId="0" applyBorder="1"/>
    <xf numFmtId="0" fontId="0" fillId="0" borderId="78" xfId="0" applyBorder="1"/>
    <xf numFmtId="0" fontId="4" fillId="2" borderId="76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164" fontId="68" fillId="0" borderId="2" xfId="0" applyNumberFormat="1" applyFont="1" applyBorder="1" applyAlignment="1" applyProtection="1">
      <alignment horizontal="center" vertical="center" wrapText="1"/>
      <protection hidden="1"/>
    </xf>
    <xf numFmtId="0" fontId="68" fillId="0" borderId="3" xfId="0" applyNumberFormat="1" applyFont="1" applyBorder="1" applyAlignment="1" applyProtection="1">
      <alignment horizontal="center" vertical="center" wrapText="1"/>
      <protection hidden="1"/>
    </xf>
    <xf numFmtId="0" fontId="68" fillId="0" borderId="78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49" fontId="4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3" xfId="0" applyNumberFormat="1" applyFont="1" applyBorder="1" applyAlignment="1" applyProtection="1">
      <alignment horizontal="center" vertical="center" wrapText="1"/>
      <protection hidden="1"/>
    </xf>
    <xf numFmtId="0" fontId="4" fillId="0" borderId="78" xfId="0" applyNumberFormat="1" applyFont="1" applyBorder="1" applyAlignment="1" applyProtection="1">
      <alignment horizontal="center" vertical="center" wrapText="1"/>
      <protection hidden="1"/>
    </xf>
    <xf numFmtId="0" fontId="1" fillId="2" borderId="73" xfId="0" applyFont="1" applyFill="1" applyBorder="1" applyAlignment="1" applyProtection="1">
      <alignment horizontal="center" vertical="center" wrapText="1"/>
      <protection hidden="1"/>
    </xf>
    <xf numFmtId="0" fontId="1" fillId="2" borderId="74" xfId="0" applyFont="1" applyFill="1" applyBorder="1" applyAlignment="1" applyProtection="1">
      <alignment horizontal="center" vertical="center" wrapText="1"/>
      <protection hidden="1"/>
    </xf>
    <xf numFmtId="0" fontId="8" fillId="0" borderId="79" xfId="0" applyFont="1" applyBorder="1" applyAlignment="1" applyProtection="1">
      <alignment horizontal="right" wrapText="1"/>
      <protection hidden="1"/>
    </xf>
    <xf numFmtId="0" fontId="8" fillId="0" borderId="3" xfId="0" applyFont="1" applyBorder="1" applyAlignment="1" applyProtection="1">
      <alignment horizontal="right" wrapText="1"/>
      <protection hidden="1"/>
    </xf>
    <xf numFmtId="164" fontId="1" fillId="0" borderId="3" xfId="0" applyNumberFormat="1" applyFont="1" applyBorder="1" applyAlignment="1" applyProtection="1">
      <alignment horizontal="center" wrapText="1"/>
      <protection hidden="1"/>
    </xf>
    <xf numFmtId="0" fontId="8" fillId="0" borderId="3" xfId="0" applyFont="1" applyBorder="1" applyAlignment="1" applyProtection="1">
      <alignment horizontal="left" wrapText="1"/>
      <protection hidden="1"/>
    </xf>
    <xf numFmtId="0" fontId="8" fillId="0" borderId="78" xfId="0" applyFont="1" applyBorder="1" applyAlignment="1" applyProtection="1">
      <alignment horizontal="left" wrapText="1"/>
      <protection hidden="1"/>
    </xf>
    <xf numFmtId="0" fontId="4" fillId="2" borderId="2" xfId="0" applyFont="1" applyFill="1" applyBorder="1" applyAlignment="1" applyProtection="1">
      <alignment horizontal="center" vertical="top" wrapText="1"/>
      <protection hidden="1"/>
    </xf>
    <xf numFmtId="0" fontId="4" fillId="2" borderId="3" xfId="0" applyFont="1" applyFill="1" applyBorder="1" applyAlignment="1" applyProtection="1">
      <alignment horizontal="center" vertical="top" wrapText="1"/>
      <protection hidden="1"/>
    </xf>
    <xf numFmtId="0" fontId="4" fillId="2" borderId="4" xfId="0" applyFont="1" applyFill="1" applyBorder="1" applyAlignment="1" applyProtection="1">
      <alignment horizontal="center" vertical="top" wrapText="1"/>
      <protection hidden="1"/>
    </xf>
    <xf numFmtId="0" fontId="74" fillId="17" borderId="0" xfId="1" applyFont="1" applyFill="1" applyBorder="1" applyAlignment="1" applyProtection="1">
      <alignment horizontal="center" vertical="center"/>
      <protection hidden="1"/>
    </xf>
    <xf numFmtId="164" fontId="2" fillId="2" borderId="74" xfId="0" applyNumberFormat="1" applyFont="1" applyFill="1" applyBorder="1" applyAlignment="1" applyProtection="1">
      <alignment horizontal="left" vertical="center" wrapText="1"/>
      <protection hidden="1"/>
    </xf>
    <xf numFmtId="164" fontId="88" fillId="2" borderId="74" xfId="0" applyNumberFormat="1" applyFont="1" applyFill="1" applyBorder="1" applyAlignment="1" applyProtection="1">
      <alignment horizontal="center" vertical="center" wrapText="1"/>
      <protection hidden="1"/>
    </xf>
    <xf numFmtId="164" fontId="88" fillId="2" borderId="75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76" xfId="0" applyFont="1" applyFill="1" applyBorder="1" applyAlignment="1" applyProtection="1">
      <alignment horizontal="center" vertical="center" wrapText="1"/>
      <protection hidden="1"/>
    </xf>
    <xf numFmtId="1" fontId="7" fillId="0" borderId="3" xfId="0" applyNumberFormat="1" applyFont="1" applyBorder="1" applyAlignment="1" applyProtection="1">
      <alignment horizontal="center" vertical="center" wrapText="1"/>
      <protection hidden="1"/>
    </xf>
    <xf numFmtId="0" fontId="7" fillId="0" borderId="3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NumberFormat="1" applyFont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1" fontId="7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77" xfId="0" applyNumberFormat="1" applyFont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NumberFormat="1" applyFont="1" applyBorder="1" applyAlignment="1" applyProtection="1">
      <alignment horizontal="center" vertical="center" wrapText="1"/>
      <protection hidden="1"/>
    </xf>
    <xf numFmtId="1" fontId="7" fillId="0" borderId="2" xfId="0" applyNumberFormat="1" applyFont="1" applyBorder="1" applyAlignment="1" applyProtection="1">
      <alignment horizontal="center" vertical="top" wrapText="1"/>
      <protection hidden="1"/>
    </xf>
    <xf numFmtId="0" fontId="7" fillId="0" borderId="3" xfId="0" applyNumberFormat="1" applyFont="1" applyBorder="1" applyAlignment="1" applyProtection="1">
      <alignment horizontal="center" vertical="top" wrapText="1"/>
      <protection hidden="1"/>
    </xf>
    <xf numFmtId="0" fontId="7" fillId="0" borderId="78" xfId="0" applyNumberFormat="1" applyFont="1" applyBorder="1" applyAlignment="1" applyProtection="1">
      <alignment horizontal="center" vertical="top" wrapText="1"/>
      <protection hidden="1"/>
    </xf>
    <xf numFmtId="0" fontId="4" fillId="3" borderId="76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NumberFormat="1" applyFont="1" applyBorder="1" applyAlignment="1" applyProtection="1">
      <alignment horizontal="center" vertical="center" wrapText="1"/>
      <protection hidden="1"/>
    </xf>
    <xf numFmtId="0" fontId="89" fillId="3" borderId="110" xfId="0" applyFont="1" applyFill="1" applyBorder="1" applyAlignment="1" applyProtection="1">
      <alignment horizontal="center" vertical="center" wrapText="1"/>
      <protection hidden="1"/>
    </xf>
    <xf numFmtId="0" fontId="82" fillId="3" borderId="111" xfId="0" applyFont="1" applyFill="1" applyBorder="1" applyAlignment="1" applyProtection="1">
      <alignment horizontal="center" vertical="center" wrapText="1"/>
      <protection hidden="1"/>
    </xf>
    <xf numFmtId="0" fontId="82" fillId="3" borderId="112" xfId="0" applyFont="1" applyFill="1" applyBorder="1" applyAlignment="1" applyProtection="1">
      <alignment horizontal="center" vertical="center" wrapText="1"/>
      <protection hidden="1"/>
    </xf>
    <xf numFmtId="0" fontId="30" fillId="3" borderId="113" xfId="0" applyFont="1" applyFill="1" applyBorder="1" applyAlignment="1" applyProtection="1">
      <alignment horizontal="center" vertical="center" wrapText="1"/>
      <protection hidden="1"/>
    </xf>
    <xf numFmtId="0" fontId="30" fillId="3" borderId="114" xfId="0" applyFont="1" applyFill="1" applyBorder="1" applyAlignment="1" applyProtection="1">
      <alignment horizontal="center" vertical="center" wrapText="1"/>
      <protection hidden="1"/>
    </xf>
    <xf numFmtId="0" fontId="30" fillId="3" borderId="68" xfId="0" applyFont="1" applyFill="1" applyBorder="1" applyAlignment="1" applyProtection="1">
      <alignment horizontal="center" vertical="center" wrapText="1"/>
      <protection hidden="1"/>
    </xf>
    <xf numFmtId="0" fontId="87" fillId="3" borderId="66" xfId="0" applyFont="1" applyFill="1" applyBorder="1" applyAlignment="1" applyProtection="1">
      <alignment horizontal="center" wrapText="1"/>
      <protection hidden="1"/>
    </xf>
    <xf numFmtId="0" fontId="87" fillId="3" borderId="115" xfId="0" applyFont="1" applyFill="1" applyBorder="1" applyAlignment="1" applyProtection="1">
      <alignment horizontal="center" wrapText="1"/>
      <protection hidden="1"/>
    </xf>
    <xf numFmtId="0" fontId="95" fillId="4" borderId="70" xfId="0" applyFont="1" applyFill="1" applyBorder="1" applyAlignment="1" applyProtection="1">
      <alignment horizontal="center" vertical="center" wrapText="1"/>
      <protection hidden="1"/>
    </xf>
    <xf numFmtId="0" fontId="95" fillId="4" borderId="71" xfId="0" applyFont="1" applyFill="1" applyBorder="1" applyAlignment="1" applyProtection="1">
      <alignment horizontal="center" vertical="center" wrapText="1"/>
      <protection hidden="1"/>
    </xf>
    <xf numFmtId="0" fontId="95" fillId="4" borderId="72" xfId="0" applyFont="1" applyFill="1" applyBorder="1" applyAlignment="1" applyProtection="1">
      <alignment horizontal="center" vertical="center" wrapText="1"/>
      <protection hidden="1"/>
    </xf>
    <xf numFmtId="1" fontId="73" fillId="0" borderId="1" xfId="0" applyNumberFormat="1" applyFont="1" applyBorder="1" applyAlignment="1" applyProtection="1">
      <alignment horizontal="center" vertical="center" wrapText="1"/>
      <protection hidden="1"/>
    </xf>
    <xf numFmtId="0" fontId="73" fillId="0" borderId="1" xfId="0" applyNumberFormat="1" applyFont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center" vertical="center" wrapText="1"/>
      <protection hidden="1"/>
    </xf>
    <xf numFmtId="0" fontId="33" fillId="0" borderId="93" xfId="0" applyFont="1" applyBorder="1" applyAlignment="1" applyProtection="1">
      <alignment horizontal="center"/>
      <protection hidden="1"/>
    </xf>
    <xf numFmtId="0" fontId="33" fillId="0" borderId="98" xfId="0" applyFont="1" applyBorder="1" applyAlignment="1" applyProtection="1">
      <alignment horizontal="center"/>
      <protection hidden="1"/>
    </xf>
    <xf numFmtId="0" fontId="75" fillId="3" borderId="117" xfId="0" applyFont="1" applyFill="1" applyBorder="1" applyAlignment="1" applyProtection="1">
      <alignment horizontal="center" vertical="center"/>
      <protection hidden="1"/>
    </xf>
    <xf numFmtId="0" fontId="75" fillId="3" borderId="118" xfId="0" applyFont="1" applyFill="1" applyBorder="1" applyAlignment="1" applyProtection="1">
      <alignment horizontal="center" vertical="center"/>
      <protection hidden="1"/>
    </xf>
    <xf numFmtId="0" fontId="91" fillId="3" borderId="87" xfId="0" applyFont="1" applyFill="1" applyBorder="1" applyAlignment="1" applyProtection="1">
      <alignment horizontal="center" vertical="center" textRotation="40" wrapText="1"/>
      <protection hidden="1"/>
    </xf>
    <xf numFmtId="0" fontId="91" fillId="3" borderId="65" xfId="0" applyFont="1" applyFill="1" applyBorder="1" applyAlignment="1" applyProtection="1">
      <alignment horizontal="center" vertical="center" textRotation="40" wrapText="1"/>
      <protection hidden="1"/>
    </xf>
    <xf numFmtId="0" fontId="91" fillId="3" borderId="93" xfId="0" applyFont="1" applyFill="1" applyBorder="1" applyAlignment="1" applyProtection="1">
      <alignment horizontal="center" vertical="center" textRotation="40" wrapText="1"/>
      <protection hidden="1"/>
    </xf>
    <xf numFmtId="0" fontId="91" fillId="3" borderId="67" xfId="0" applyFont="1" applyFill="1" applyBorder="1" applyAlignment="1" applyProtection="1">
      <alignment horizontal="center" vertical="center" textRotation="40" wrapText="1"/>
      <protection hidden="1"/>
    </xf>
    <xf numFmtId="49" fontId="6" fillId="3" borderId="79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77" xfId="0" applyNumberFormat="1" applyFont="1" applyBorder="1" applyAlignment="1" applyProtection="1">
      <alignment horizontal="center" vertical="center" wrapText="1"/>
      <protection hidden="1"/>
    </xf>
    <xf numFmtId="1" fontId="91" fillId="3" borderId="79" xfId="0" applyNumberFormat="1" applyFont="1" applyFill="1" applyBorder="1" applyAlignment="1" applyProtection="1">
      <alignment horizontal="center" vertical="center"/>
      <protection hidden="1"/>
    </xf>
    <xf numFmtId="0" fontId="91" fillId="3" borderId="3" xfId="0" applyFont="1" applyFill="1" applyBorder="1" applyAlignment="1" applyProtection="1">
      <alignment horizontal="center" vertical="center"/>
      <protection hidden="1"/>
    </xf>
    <xf numFmtId="0" fontId="91" fillId="3" borderId="78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Alignment="1" applyProtection="1">
      <alignment horizontal="center" vertical="center" wrapText="1"/>
      <protection hidden="1"/>
    </xf>
    <xf numFmtId="164" fontId="2" fillId="0" borderId="4" xfId="0" applyNumberFormat="1" applyFont="1" applyBorder="1" applyAlignment="1" applyProtection="1">
      <alignment horizontal="center" vertical="center" wrapText="1"/>
      <protection hidden="1"/>
    </xf>
    <xf numFmtId="0" fontId="6" fillId="3" borderId="76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33" fillId="0" borderId="99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0" fontId="75" fillId="3" borderId="96" xfId="0" applyFont="1" applyFill="1" applyBorder="1" applyAlignment="1" applyProtection="1">
      <alignment horizontal="center" vertical="center"/>
      <protection hidden="1"/>
    </xf>
    <xf numFmtId="0" fontId="75" fillId="3" borderId="97" xfId="0" applyFont="1" applyFill="1" applyBorder="1" applyAlignment="1" applyProtection="1">
      <alignment horizontal="center" vertical="center"/>
      <protection hidden="1"/>
    </xf>
    <xf numFmtId="1" fontId="18" fillId="0" borderId="2" xfId="0" applyNumberFormat="1" applyFont="1" applyBorder="1" applyAlignment="1" applyProtection="1">
      <alignment horizontal="center" vertical="center" wrapText="1"/>
      <protection hidden="1"/>
    </xf>
    <xf numFmtId="1" fontId="18" fillId="0" borderId="3" xfId="0" applyNumberFormat="1" applyFont="1" applyBorder="1" applyAlignment="1" applyProtection="1">
      <alignment horizontal="center" vertical="center" wrapText="1"/>
      <protection hidden="1"/>
    </xf>
    <xf numFmtId="1" fontId="18" fillId="0" borderId="4" xfId="0" applyNumberFormat="1" applyFont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left" vertical="center" wrapText="1"/>
      <protection hidden="1"/>
    </xf>
    <xf numFmtId="0" fontId="4" fillId="3" borderId="4" xfId="0" applyFont="1" applyFill="1" applyBorder="1" applyAlignment="1" applyProtection="1">
      <alignment horizontal="left" vertical="center" wrapText="1"/>
      <protection hidden="1"/>
    </xf>
    <xf numFmtId="0" fontId="93" fillId="3" borderId="90" xfId="0" applyFont="1" applyFill="1" applyBorder="1" applyAlignment="1" applyProtection="1">
      <alignment horizontal="center" vertical="center"/>
      <protection hidden="1"/>
    </xf>
    <xf numFmtId="0" fontId="93" fillId="3" borderId="91" xfId="0" applyFont="1" applyFill="1" applyBorder="1" applyAlignment="1" applyProtection="1">
      <alignment horizontal="center" vertical="center"/>
      <protection hidden="1"/>
    </xf>
    <xf numFmtId="0" fontId="93" fillId="3" borderId="92" xfId="0" applyFont="1" applyFill="1" applyBorder="1" applyAlignment="1" applyProtection="1">
      <alignment horizontal="center" vertical="center"/>
      <protection hidden="1"/>
    </xf>
    <xf numFmtId="0" fontId="65" fillId="0" borderId="76" xfId="0" applyFont="1" applyBorder="1" applyAlignment="1" applyProtection="1">
      <alignment horizontal="left" wrapText="1"/>
      <protection hidden="1"/>
    </xf>
    <xf numFmtId="0" fontId="65" fillId="0" borderId="1" xfId="0" applyFont="1" applyBorder="1" applyAlignment="1" applyProtection="1">
      <alignment horizontal="left" wrapText="1"/>
      <protection hidden="1"/>
    </xf>
    <xf numFmtId="164" fontId="65" fillId="0" borderId="1" xfId="0" applyNumberFormat="1" applyFont="1" applyBorder="1" applyAlignment="1" applyProtection="1">
      <alignment horizontal="right" wrapText="1"/>
      <protection hidden="1"/>
    </xf>
    <xf numFmtId="164" fontId="65" fillId="0" borderId="77" xfId="0" applyNumberFormat="1" applyFont="1" applyBorder="1" applyAlignment="1" applyProtection="1">
      <alignment horizontal="right" wrapText="1"/>
      <protection hidden="1"/>
    </xf>
    <xf numFmtId="0" fontId="88" fillId="0" borderId="79" xfId="0" applyFont="1" applyBorder="1" applyAlignment="1" applyProtection="1">
      <alignment horizontal="right" vertical="center" wrapText="1"/>
      <protection hidden="1"/>
    </xf>
    <xf numFmtId="0" fontId="88" fillId="0" borderId="3" xfId="0" applyFont="1" applyBorder="1" applyAlignment="1" applyProtection="1">
      <alignment horizontal="right" vertical="center" wrapText="1"/>
      <protection hidden="1"/>
    </xf>
    <xf numFmtId="0" fontId="88" fillId="0" borderId="4" xfId="0" applyFont="1" applyBorder="1" applyAlignment="1" applyProtection="1">
      <alignment horizontal="right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19" borderId="0" xfId="0" applyFill="1" applyAlignment="1" applyProtection="1">
      <alignment horizontal="center"/>
      <protection hidden="1"/>
    </xf>
    <xf numFmtId="0" fontId="0" fillId="19" borderId="0" xfId="0" applyFill="1" applyBorder="1" applyAlignment="1" applyProtection="1">
      <alignment horizontal="center"/>
      <protection hidden="1"/>
    </xf>
    <xf numFmtId="0" fontId="117" fillId="0" borderId="36" xfId="0" applyFont="1" applyBorder="1" applyAlignment="1" applyProtection="1">
      <alignment horizontal="center"/>
      <protection hidden="1"/>
    </xf>
    <xf numFmtId="0" fontId="117" fillId="0" borderId="33" xfId="0" applyFont="1" applyBorder="1" applyAlignment="1" applyProtection="1">
      <alignment horizontal="center"/>
      <protection hidden="1"/>
    </xf>
    <xf numFmtId="0" fontId="117" fillId="0" borderId="31" xfId="0" applyFont="1" applyBorder="1" applyAlignment="1" applyProtection="1">
      <alignment horizontal="center"/>
      <protection hidden="1"/>
    </xf>
    <xf numFmtId="0" fontId="117" fillId="0" borderId="37" xfId="0" applyFont="1" applyBorder="1" applyAlignment="1" applyProtection="1">
      <alignment horizontal="center"/>
      <protection hidden="1"/>
    </xf>
    <xf numFmtId="0" fontId="101" fillId="3" borderId="30" xfId="0" applyFont="1" applyFill="1" applyBorder="1" applyAlignment="1" applyProtection="1">
      <alignment horizontal="center" vertical="center"/>
      <protection hidden="1"/>
    </xf>
    <xf numFmtId="0" fontId="101" fillId="3" borderId="31" xfId="0" applyFont="1" applyFill="1" applyBorder="1" applyAlignment="1" applyProtection="1">
      <alignment horizontal="center" vertical="center"/>
      <protection hidden="1"/>
    </xf>
    <xf numFmtId="0" fontId="101" fillId="3" borderId="32" xfId="0" applyFont="1" applyFill="1" applyBorder="1" applyAlignment="1" applyProtection="1">
      <alignment horizontal="center" vertical="center"/>
      <protection hidden="1"/>
    </xf>
    <xf numFmtId="176" fontId="101" fillId="0" borderId="30" xfId="0" applyNumberFormat="1" applyFont="1" applyBorder="1" applyAlignment="1" applyProtection="1">
      <alignment horizontal="center" vertical="center"/>
      <protection hidden="1"/>
    </xf>
    <xf numFmtId="176" fontId="101" fillId="0" borderId="31" xfId="0" applyNumberFormat="1" applyFont="1" applyBorder="1" applyAlignment="1" applyProtection="1">
      <alignment horizontal="center" vertical="center"/>
      <protection hidden="1"/>
    </xf>
    <xf numFmtId="176" fontId="101" fillId="3" borderId="30" xfId="0" applyNumberFormat="1" applyFont="1" applyFill="1" applyBorder="1" applyAlignment="1" applyProtection="1">
      <alignment horizontal="center" vertical="center"/>
      <protection hidden="1"/>
    </xf>
    <xf numFmtId="176" fontId="101" fillId="3" borderId="31" xfId="0" applyNumberFormat="1" applyFont="1" applyFill="1" applyBorder="1" applyAlignment="1" applyProtection="1">
      <alignment horizontal="center" vertical="center"/>
      <protection hidden="1"/>
    </xf>
    <xf numFmtId="176" fontId="101" fillId="3" borderId="32" xfId="0" applyNumberFormat="1" applyFont="1" applyFill="1" applyBorder="1" applyAlignment="1" applyProtection="1">
      <alignment horizontal="center" vertical="center"/>
      <protection hidden="1"/>
    </xf>
    <xf numFmtId="0" fontId="19" fillId="0" borderId="51" xfId="0" applyFont="1" applyFill="1" applyBorder="1" applyAlignment="1" applyProtection="1">
      <alignment horizontal="center" vertical="center" wrapText="1"/>
      <protection hidden="1"/>
    </xf>
    <xf numFmtId="0" fontId="19" fillId="0" borderId="16" xfId="0" applyFont="1" applyFill="1" applyBorder="1" applyAlignment="1" applyProtection="1">
      <alignment horizontal="center" vertical="center" wrapText="1"/>
      <protection hidden="1"/>
    </xf>
    <xf numFmtId="0" fontId="19" fillId="0" borderId="100" xfId="0" applyFont="1" applyFill="1" applyBorder="1" applyAlignment="1" applyProtection="1">
      <alignment horizontal="center" vertical="center" wrapText="1"/>
      <protection hidden="1"/>
    </xf>
    <xf numFmtId="0" fontId="19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52" xfId="0" applyFont="1" applyFill="1" applyBorder="1" applyAlignment="1" applyProtection="1">
      <alignment horizontal="center" vertical="center" wrapText="1"/>
      <protection hidden="1"/>
    </xf>
    <xf numFmtId="0" fontId="2" fillId="0" borderId="17" xfId="0" applyFont="1" applyFill="1" applyBorder="1" applyAlignment="1" applyProtection="1">
      <alignment horizontal="center" vertical="center" wrapText="1"/>
      <protection hidden="1"/>
    </xf>
    <xf numFmtId="0" fontId="2" fillId="0" borderId="101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 applyProtection="1">
      <alignment horizontal="center" vertical="center" wrapText="1"/>
      <protection hidden="1"/>
    </xf>
    <xf numFmtId="0" fontId="2" fillId="0" borderId="38" xfId="0" applyFont="1" applyFill="1" applyBorder="1" applyAlignment="1" applyProtection="1">
      <alignment horizontal="center" vertical="center" wrapText="1"/>
      <protection hidden="1"/>
    </xf>
    <xf numFmtId="0" fontId="2" fillId="0" borderId="123" xfId="0" applyFont="1" applyFill="1" applyBorder="1" applyAlignment="1" applyProtection="1">
      <alignment horizontal="center" vertical="center" wrapText="1"/>
      <protection hidden="1"/>
    </xf>
    <xf numFmtId="0" fontId="2" fillId="0" borderId="127" xfId="0" applyFont="1" applyFill="1" applyBorder="1" applyAlignment="1" applyProtection="1">
      <alignment horizontal="center" vertical="center" wrapText="1"/>
      <protection hidden="1"/>
    </xf>
    <xf numFmtId="0" fontId="101" fillId="6" borderId="30" xfId="0" applyFont="1" applyFill="1" applyBorder="1" applyAlignment="1" applyProtection="1">
      <alignment horizontal="center" vertical="center"/>
      <protection hidden="1"/>
    </xf>
    <xf numFmtId="0" fontId="0" fillId="0" borderId="31" xfId="0" applyBorder="1"/>
    <xf numFmtId="0" fontId="0" fillId="0" borderId="32" xfId="0" applyBorder="1"/>
    <xf numFmtId="0" fontId="98" fillId="6" borderId="31" xfId="0" applyFont="1" applyFill="1" applyBorder="1" applyAlignment="1" applyProtection="1">
      <alignment horizontal="center" vertical="center"/>
      <protection hidden="1"/>
    </xf>
    <xf numFmtId="0" fontId="127" fillId="0" borderId="31" xfId="0" applyFont="1" applyBorder="1"/>
    <xf numFmtId="0" fontId="127" fillId="0" borderId="32" xfId="0" applyFont="1" applyBorder="1"/>
    <xf numFmtId="0" fontId="4" fillId="0" borderId="69" xfId="0" applyFont="1" applyFill="1" applyBorder="1" applyAlignment="1" applyProtection="1">
      <alignment horizontal="center" vertical="center" wrapText="1"/>
      <protection hidden="1"/>
    </xf>
    <xf numFmtId="0" fontId="4" fillId="0" borderId="126" xfId="0" applyFont="1" applyFill="1" applyBorder="1" applyAlignment="1" applyProtection="1">
      <alignment horizontal="center" vertical="center" wrapText="1"/>
      <protection hidden="1"/>
    </xf>
    <xf numFmtId="0" fontId="4" fillId="0" borderId="129" xfId="0" applyFont="1" applyFill="1" applyBorder="1" applyAlignment="1" applyProtection="1">
      <alignment horizontal="center" vertical="center" wrapText="1"/>
      <protection hidden="1"/>
    </xf>
    <xf numFmtId="0" fontId="19" fillId="0" borderId="13" xfId="0" applyFont="1" applyFill="1" applyBorder="1" applyAlignment="1" applyProtection="1">
      <alignment horizontal="center" vertical="center" wrapText="1"/>
      <protection hidden="1"/>
    </xf>
    <xf numFmtId="0" fontId="19" fillId="0" borderId="14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Fill="1" applyBorder="1" applyAlignment="1" applyProtection="1">
      <alignment horizontal="center" vertical="center" wrapText="1"/>
      <protection hidden="1"/>
    </xf>
    <xf numFmtId="0" fontId="4" fillId="0" borderId="130" xfId="0" applyFont="1" applyFill="1" applyBorder="1" applyAlignment="1" applyProtection="1">
      <alignment horizontal="center" vertical="center" wrapText="1"/>
      <protection hidden="1"/>
    </xf>
    <xf numFmtId="0" fontId="34" fillId="0" borderId="34" xfId="0" applyFont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4" fillId="0" borderId="44" xfId="0" applyFont="1" applyFill="1" applyBorder="1" applyAlignment="1" applyProtection="1">
      <alignment horizontal="center" vertical="center" wrapText="1"/>
      <protection hidden="1"/>
    </xf>
    <xf numFmtId="0" fontId="64" fillId="0" borderId="35" xfId="0" applyFont="1" applyFill="1" applyBorder="1" applyAlignment="1" applyProtection="1">
      <alignment horizontal="center" vertical="center" wrapText="1"/>
      <protection hidden="1"/>
    </xf>
    <xf numFmtId="0" fontId="15" fillId="0" borderId="44" xfId="0" applyFont="1" applyFill="1" applyBorder="1" applyAlignment="1" applyProtection="1">
      <alignment horizontal="center" vertical="center" wrapText="1"/>
      <protection hidden="1"/>
    </xf>
    <xf numFmtId="0" fontId="15" fillId="0" borderId="35" xfId="0" applyFont="1" applyFill="1" applyBorder="1" applyAlignment="1" applyProtection="1">
      <alignment horizontal="center" vertical="center" wrapText="1"/>
      <protection hidden="1"/>
    </xf>
    <xf numFmtId="0" fontId="19" fillId="0" borderId="44" xfId="0" applyFont="1" applyFill="1" applyBorder="1" applyAlignment="1" applyProtection="1">
      <alignment horizontal="center" vertical="center" wrapText="1"/>
      <protection hidden="1"/>
    </xf>
    <xf numFmtId="0" fontId="19" fillId="0" borderId="39" xfId="0" applyFont="1" applyFill="1" applyBorder="1" applyAlignment="1" applyProtection="1">
      <alignment horizontal="center" vertical="center" wrapText="1"/>
      <protection hidden="1"/>
    </xf>
    <xf numFmtId="0" fontId="19" fillId="0" borderId="35" xfId="0" applyFont="1" applyFill="1" applyBorder="1" applyAlignment="1" applyProtection="1">
      <alignment horizontal="center" vertical="center" wrapText="1"/>
      <protection hidden="1"/>
    </xf>
    <xf numFmtId="177" fontId="92" fillId="6" borderId="36" xfId="0" applyNumberFormat="1" applyFont="1" applyFill="1" applyBorder="1" applyAlignment="1" applyProtection="1">
      <alignment horizontal="center" vertical="center" wrapText="1" shrinkToFit="1"/>
      <protection hidden="1"/>
    </xf>
    <xf numFmtId="177" fontId="92" fillId="6" borderId="33" xfId="0" applyNumberFormat="1" applyFont="1" applyFill="1" applyBorder="1" applyAlignment="1" applyProtection="1">
      <alignment horizontal="center" vertical="center" wrapText="1" shrinkToFit="1"/>
      <protection hidden="1"/>
    </xf>
    <xf numFmtId="177" fontId="92" fillId="6" borderId="127" xfId="0" applyNumberFormat="1" applyFont="1" applyFill="1" applyBorder="1" applyAlignment="1" applyProtection="1">
      <alignment horizontal="center" vertical="center" wrapText="1" shrinkToFit="1"/>
      <protection hidden="1"/>
    </xf>
    <xf numFmtId="177" fontId="92" fillId="6" borderId="128" xfId="0" applyNumberFormat="1" applyFont="1" applyFill="1" applyBorder="1" applyAlignment="1" applyProtection="1">
      <alignment horizontal="center" vertical="center" wrapText="1" shrinkToFit="1"/>
      <protection hidden="1"/>
    </xf>
    <xf numFmtId="167" fontId="36" fillId="6" borderId="41" xfId="0" applyNumberFormat="1" applyFont="1" applyFill="1" applyBorder="1" applyAlignment="1" applyProtection="1">
      <alignment horizontal="left" vertical="center" wrapText="1" indent="2"/>
      <protection hidden="1"/>
    </xf>
    <xf numFmtId="167" fontId="36" fillId="6" borderId="34" xfId="0" applyNumberFormat="1" applyFont="1" applyFill="1" applyBorder="1" applyAlignment="1" applyProtection="1">
      <alignment horizontal="left" vertical="center" wrapText="1" indent="2"/>
      <protection hidden="1"/>
    </xf>
    <xf numFmtId="177" fontId="92" fillId="6" borderId="134" xfId="0" applyNumberFormat="1" applyFont="1" applyFill="1" applyBorder="1" applyAlignment="1" applyProtection="1">
      <alignment horizontal="center" vertical="center" wrapText="1" shrinkToFit="1"/>
      <protection hidden="1"/>
    </xf>
    <xf numFmtId="177" fontId="92" fillId="6" borderId="133" xfId="0" applyNumberFormat="1" applyFont="1" applyFill="1" applyBorder="1" applyAlignment="1" applyProtection="1">
      <alignment horizontal="center" vertical="center" wrapText="1" shrinkToFit="1"/>
      <protection hidden="1"/>
    </xf>
    <xf numFmtId="177" fontId="92" fillId="6" borderId="24" xfId="0" applyNumberFormat="1" applyFont="1" applyFill="1" applyBorder="1" applyAlignment="1" applyProtection="1">
      <alignment horizontal="center" vertical="center" shrinkToFit="1"/>
      <protection hidden="1"/>
    </xf>
    <xf numFmtId="177" fontId="92" fillId="6" borderId="41" xfId="0" applyNumberFormat="1" applyFont="1" applyFill="1" applyBorder="1" applyAlignment="1" applyProtection="1">
      <alignment horizontal="center" vertical="center" shrinkToFit="1"/>
      <protection hidden="1"/>
    </xf>
    <xf numFmtId="165" fontId="143" fillId="22" borderId="36" xfId="0" applyNumberFormat="1" applyFont="1" applyFill="1" applyBorder="1" applyAlignment="1" applyProtection="1">
      <alignment horizontal="left" vertical="center" wrapText="1" indent="4"/>
      <protection hidden="1"/>
    </xf>
    <xf numFmtId="165" fontId="143" fillId="22" borderId="33" xfId="0" applyNumberFormat="1" applyFont="1" applyFill="1" applyBorder="1" applyAlignment="1" applyProtection="1">
      <alignment horizontal="left" vertical="center" wrapText="1" indent="4"/>
      <protection hidden="1"/>
    </xf>
    <xf numFmtId="165" fontId="143" fillId="22" borderId="134" xfId="0" applyNumberFormat="1" applyFont="1" applyFill="1" applyBorder="1" applyAlignment="1" applyProtection="1">
      <alignment horizontal="left" vertical="center" wrapText="1" indent="4"/>
      <protection hidden="1"/>
    </xf>
    <xf numFmtId="165" fontId="143" fillId="22" borderId="127" xfId="0" applyNumberFormat="1" applyFont="1" applyFill="1" applyBorder="1" applyAlignment="1" applyProtection="1">
      <alignment horizontal="left" vertical="center" wrapText="1" indent="4"/>
      <protection hidden="1"/>
    </xf>
    <xf numFmtId="165" fontId="143" fillId="22" borderId="128" xfId="0" applyNumberFormat="1" applyFont="1" applyFill="1" applyBorder="1" applyAlignment="1" applyProtection="1">
      <alignment horizontal="left" vertical="center" wrapText="1" indent="4"/>
      <protection hidden="1"/>
    </xf>
    <xf numFmtId="165" fontId="143" fillId="22" borderId="133" xfId="0" applyNumberFormat="1" applyFont="1" applyFill="1" applyBorder="1" applyAlignment="1" applyProtection="1">
      <alignment horizontal="left" vertical="center" wrapText="1" indent="4"/>
      <protection hidden="1"/>
    </xf>
    <xf numFmtId="165" fontId="98" fillId="22" borderId="24" xfId="0" applyNumberFormat="1" applyFont="1" applyFill="1" applyBorder="1" applyAlignment="1" applyProtection="1">
      <alignment horizontal="center" vertical="center" wrapText="1"/>
      <protection hidden="1"/>
    </xf>
    <xf numFmtId="165" fontId="98" fillId="22" borderId="41" xfId="0" applyNumberFormat="1" applyFont="1" applyFill="1" applyBorder="1" applyAlignment="1" applyProtection="1">
      <alignment horizontal="center" vertical="center" wrapText="1"/>
      <protection hidden="1"/>
    </xf>
    <xf numFmtId="167" fontId="98" fillId="22" borderId="41" xfId="0" applyNumberFormat="1" applyFont="1" applyFill="1" applyBorder="1" applyAlignment="1" applyProtection="1">
      <alignment horizontal="left" vertical="center" wrapText="1"/>
      <protection hidden="1"/>
    </xf>
    <xf numFmtId="167" fontId="98" fillId="22" borderId="34" xfId="0" applyNumberFormat="1" applyFont="1" applyFill="1" applyBorder="1" applyAlignment="1" applyProtection="1">
      <alignment horizontal="left" vertical="center" wrapText="1"/>
      <protection hidden="1"/>
    </xf>
    <xf numFmtId="167" fontId="36" fillId="6" borderId="128" xfId="0" applyNumberFormat="1" applyFont="1" applyFill="1" applyBorder="1" applyAlignment="1" applyProtection="1">
      <alignment horizontal="left" vertical="center" wrapText="1" indent="2"/>
      <protection hidden="1"/>
    </xf>
    <xf numFmtId="167" fontId="36" fillId="6" borderId="129" xfId="0" applyNumberFormat="1" applyFont="1" applyFill="1" applyBorder="1" applyAlignment="1" applyProtection="1">
      <alignment horizontal="left" vertical="center" wrapText="1" indent="2"/>
      <protection hidden="1"/>
    </xf>
    <xf numFmtId="177" fontId="92" fillId="6" borderId="26" xfId="0" applyNumberFormat="1" applyFont="1" applyFill="1" applyBorder="1" applyAlignment="1" applyProtection="1">
      <alignment horizontal="center" vertical="center" shrinkToFit="1"/>
      <protection hidden="1"/>
    </xf>
    <xf numFmtId="177" fontId="92" fillId="6" borderId="40" xfId="0" applyNumberFormat="1" applyFont="1" applyFill="1" applyBorder="1" applyAlignment="1" applyProtection="1">
      <alignment horizontal="center" vertical="center" shrinkToFit="1"/>
      <protection hidden="1"/>
    </xf>
    <xf numFmtId="165" fontId="98" fillId="22" borderId="128" xfId="0" applyNumberFormat="1" applyFont="1" applyFill="1" applyBorder="1" applyAlignment="1" applyProtection="1">
      <alignment horizontal="center" vertical="center" wrapText="1"/>
      <protection hidden="1"/>
    </xf>
    <xf numFmtId="167" fontId="98" fillId="22" borderId="40" xfId="0" applyNumberFormat="1" applyFont="1" applyFill="1" applyBorder="1" applyAlignment="1" applyProtection="1">
      <alignment horizontal="left" vertical="center" wrapText="1"/>
      <protection hidden="1"/>
    </xf>
    <xf numFmtId="167" fontId="98" fillId="22" borderId="135" xfId="0" applyNumberFormat="1" applyFont="1" applyFill="1" applyBorder="1" applyAlignment="1" applyProtection="1">
      <alignment horizontal="left" vertical="center" wrapText="1"/>
      <protection hidden="1"/>
    </xf>
    <xf numFmtId="0" fontId="3" fillId="19" borderId="0" xfId="0" applyFont="1" applyFill="1" applyAlignment="1" applyProtection="1">
      <alignment horizontal="center"/>
      <protection hidden="1"/>
    </xf>
    <xf numFmtId="176" fontId="101" fillId="0" borderId="32" xfId="0" applyNumberFormat="1" applyFont="1" applyBorder="1" applyAlignment="1" applyProtection="1">
      <alignment horizontal="center" vertical="center"/>
      <protection hidden="1"/>
    </xf>
    <xf numFmtId="176" fontId="162" fillId="24" borderId="36" xfId="0" applyNumberFormat="1" applyFont="1" applyFill="1" applyBorder="1" applyAlignment="1" applyProtection="1">
      <alignment horizontal="center" vertical="center" wrapText="1"/>
      <protection hidden="1"/>
    </xf>
    <xf numFmtId="176" fontId="162" fillId="24" borderId="33" xfId="0" applyNumberFormat="1" applyFont="1" applyFill="1" applyBorder="1" applyAlignment="1" applyProtection="1">
      <alignment horizontal="center" vertical="center" wrapText="1"/>
      <protection hidden="1"/>
    </xf>
    <xf numFmtId="176" fontId="162" fillId="24" borderId="37" xfId="0" applyNumberFormat="1" applyFont="1" applyFill="1" applyBorder="1" applyAlignment="1" applyProtection="1">
      <alignment horizontal="center" vertical="center" wrapText="1"/>
      <protection hidden="1"/>
    </xf>
    <xf numFmtId="176" fontId="162" fillId="24" borderId="123" xfId="0" applyNumberFormat="1" applyFont="1" applyFill="1" applyBorder="1" applyAlignment="1" applyProtection="1">
      <alignment horizontal="center" vertical="center" wrapText="1"/>
      <protection hidden="1"/>
    </xf>
    <xf numFmtId="176" fontId="162" fillId="24" borderId="0" xfId="0" applyNumberFormat="1" applyFont="1" applyFill="1" applyBorder="1" applyAlignment="1" applyProtection="1">
      <alignment horizontal="center" vertical="center" wrapText="1"/>
      <protection hidden="1"/>
    </xf>
    <xf numFmtId="176" fontId="162" fillId="24" borderId="126" xfId="0" applyNumberFormat="1" applyFont="1" applyFill="1" applyBorder="1" applyAlignment="1" applyProtection="1">
      <alignment horizontal="center" vertical="center" wrapText="1"/>
      <protection hidden="1"/>
    </xf>
    <xf numFmtId="176" fontId="171" fillId="24" borderId="0" xfId="0" applyNumberFormat="1" applyFont="1" applyFill="1" applyBorder="1" applyAlignment="1" applyProtection="1">
      <alignment horizontal="center" vertical="center"/>
      <protection hidden="1"/>
    </xf>
    <xf numFmtId="176" fontId="171" fillId="24" borderId="42" xfId="0" applyNumberFormat="1" applyFont="1" applyFill="1" applyBorder="1" applyAlignment="1" applyProtection="1">
      <alignment horizontal="center" vertical="center"/>
      <protection hidden="1"/>
    </xf>
    <xf numFmtId="176" fontId="172" fillId="24" borderId="0" xfId="0" applyNumberFormat="1" applyFont="1" applyFill="1" applyBorder="1" applyAlignment="1" applyProtection="1">
      <alignment horizontal="left" vertical="center" wrapText="1"/>
      <protection hidden="1"/>
    </xf>
    <xf numFmtId="176" fontId="172" fillId="24" borderId="42" xfId="0" applyNumberFormat="1" applyFont="1" applyFill="1" applyBorder="1" applyAlignment="1" applyProtection="1">
      <alignment horizontal="left" vertical="center" wrapText="1"/>
      <protection hidden="1"/>
    </xf>
    <xf numFmtId="177" fontId="161" fillId="6" borderId="0" xfId="0" applyNumberFormat="1" applyFont="1" applyFill="1" applyBorder="1" applyAlignment="1" applyProtection="1">
      <alignment horizontal="center" vertical="center" shrinkToFit="1"/>
      <protection hidden="1"/>
    </xf>
    <xf numFmtId="0" fontId="151" fillId="24" borderId="49" xfId="0" applyFont="1" applyFill="1" applyBorder="1" applyAlignment="1" applyProtection="1">
      <alignment horizontal="center" vertical="center" wrapText="1"/>
      <protection locked="0"/>
    </xf>
    <xf numFmtId="0" fontId="151" fillId="24" borderId="63" xfId="0" applyFont="1" applyFill="1" applyBorder="1" applyAlignment="1" applyProtection="1">
      <alignment horizontal="center" vertical="center" wrapText="1"/>
      <protection locked="0"/>
    </xf>
    <xf numFmtId="0" fontId="151" fillId="6" borderId="49" xfId="0" applyFont="1" applyFill="1" applyBorder="1" applyAlignment="1" applyProtection="1">
      <alignment horizontal="center" vertical="center" wrapText="1"/>
      <protection locked="0"/>
    </xf>
    <xf numFmtId="0" fontId="151" fillId="6" borderId="63" xfId="0" applyFont="1" applyFill="1" applyBorder="1" applyAlignment="1" applyProtection="1">
      <alignment horizontal="center" vertical="center" wrapText="1"/>
      <protection locked="0"/>
    </xf>
    <xf numFmtId="176" fontId="150" fillId="0" borderId="123" xfId="0" applyNumberFormat="1" applyFont="1" applyBorder="1" applyAlignment="1" applyProtection="1">
      <alignment horizontal="center" vertical="top" wrapText="1"/>
      <protection hidden="1"/>
    </xf>
    <xf numFmtId="176" fontId="150" fillId="0" borderId="0" xfId="0" applyNumberFormat="1" applyFont="1" applyBorder="1" applyAlignment="1" applyProtection="1">
      <alignment horizontal="center" vertical="top" wrapText="1"/>
      <protection hidden="1"/>
    </xf>
    <xf numFmtId="176" fontId="150" fillId="0" borderId="126" xfId="0" applyNumberFormat="1" applyFont="1" applyBorder="1" applyAlignment="1" applyProtection="1">
      <alignment horizontal="center" vertical="top" wrapText="1"/>
      <protection hidden="1"/>
    </xf>
    <xf numFmtId="176" fontId="150" fillId="0" borderId="127" xfId="0" applyNumberFormat="1" applyFont="1" applyBorder="1" applyAlignment="1" applyProtection="1">
      <alignment horizontal="center" vertical="top" wrapText="1"/>
      <protection hidden="1"/>
    </xf>
    <xf numFmtId="176" fontId="150" fillId="0" borderId="128" xfId="0" applyNumberFormat="1" applyFont="1" applyBorder="1" applyAlignment="1" applyProtection="1">
      <alignment horizontal="center" vertical="top" wrapText="1"/>
      <protection hidden="1"/>
    </xf>
    <xf numFmtId="176" fontId="150" fillId="0" borderId="129" xfId="0" applyNumberFormat="1" applyFont="1" applyBorder="1" applyAlignment="1" applyProtection="1">
      <alignment horizontal="center" vertical="top" wrapText="1"/>
      <protection hidden="1"/>
    </xf>
    <xf numFmtId="0" fontId="163" fillId="0" borderId="27" xfId="0" applyFont="1" applyFill="1" applyBorder="1" applyAlignment="1" applyProtection="1">
      <alignment horizontal="center" vertical="center" wrapText="1"/>
      <protection hidden="1"/>
    </xf>
    <xf numFmtId="0" fontId="163" fillId="0" borderId="46" xfId="0" applyFont="1" applyFill="1" applyBorder="1" applyAlignment="1" applyProtection="1">
      <alignment horizontal="center" vertical="center" wrapText="1"/>
      <protection hidden="1"/>
    </xf>
    <xf numFmtId="165" fontId="159" fillId="24" borderId="48" xfId="0" applyNumberFormat="1" applyFont="1" applyFill="1" applyBorder="1" applyAlignment="1" applyProtection="1">
      <alignment horizontal="center" vertical="center" shrinkToFit="1"/>
      <protection hidden="1"/>
    </xf>
    <xf numFmtId="165" fontId="159" fillId="24" borderId="61" xfId="0" applyNumberFormat="1" applyFont="1" applyFill="1" applyBorder="1" applyAlignment="1" applyProtection="1">
      <alignment horizontal="center" vertical="center" shrinkToFit="1"/>
      <protection hidden="1"/>
    </xf>
    <xf numFmtId="165" fontId="159" fillId="6" borderId="48" xfId="0" applyNumberFormat="1" applyFont="1" applyFill="1" applyBorder="1" applyAlignment="1" applyProtection="1">
      <alignment horizontal="center" vertical="center" shrinkToFit="1"/>
      <protection hidden="1"/>
    </xf>
    <xf numFmtId="165" fontId="159" fillId="6" borderId="61" xfId="0" applyNumberFormat="1" applyFont="1" applyFill="1" applyBorder="1" applyAlignment="1" applyProtection="1">
      <alignment horizontal="center" vertical="center" shrinkToFit="1"/>
      <protection hidden="1"/>
    </xf>
    <xf numFmtId="165" fontId="159" fillId="24" borderId="48" xfId="0" applyNumberFormat="1" applyFont="1" applyFill="1" applyBorder="1" applyAlignment="1" applyProtection="1">
      <alignment horizontal="center" vertical="center" wrapText="1"/>
      <protection locked="0"/>
    </xf>
    <xf numFmtId="165" fontId="159" fillId="24" borderId="61" xfId="0" applyNumberFormat="1" applyFont="1" applyFill="1" applyBorder="1" applyAlignment="1" applyProtection="1">
      <alignment horizontal="center" vertical="center" wrapText="1"/>
      <protection locked="0"/>
    </xf>
    <xf numFmtId="177" fontId="118" fillId="6" borderId="33" xfId="0" applyNumberFormat="1" applyFont="1" applyFill="1" applyBorder="1" applyAlignment="1" applyProtection="1">
      <alignment horizontal="center" shrinkToFit="1"/>
      <protection hidden="1"/>
    </xf>
    <xf numFmtId="177" fontId="118" fillId="6" borderId="0" xfId="0" applyNumberFormat="1" applyFont="1" applyFill="1" applyBorder="1" applyAlignment="1" applyProtection="1">
      <alignment horizontal="center" shrinkToFit="1"/>
      <protection hidden="1"/>
    </xf>
    <xf numFmtId="165" fontId="99" fillId="6" borderId="0" xfId="0" applyNumberFormat="1" applyFont="1" applyFill="1" applyBorder="1" applyAlignment="1" applyProtection="1">
      <alignment horizontal="center" vertical="center" shrinkToFit="1"/>
      <protection hidden="1"/>
    </xf>
    <xf numFmtId="165" fontId="143" fillId="6" borderId="16" xfId="0" applyNumberFormat="1" applyFont="1" applyFill="1" applyBorder="1" applyAlignment="1" applyProtection="1">
      <alignment horizontal="center" vertical="center" shrinkToFit="1"/>
      <protection locked="0"/>
    </xf>
    <xf numFmtId="165" fontId="143" fillId="6" borderId="12" xfId="0" applyNumberFormat="1" applyFont="1" applyFill="1" applyBorder="1" applyAlignment="1" applyProtection="1">
      <alignment horizontal="center" vertical="center" shrinkToFit="1"/>
      <protection locked="0"/>
    </xf>
    <xf numFmtId="165" fontId="143" fillId="6" borderId="17" xfId="0" applyNumberFormat="1" applyFont="1" applyFill="1" applyBorder="1" applyAlignment="1" applyProtection="1">
      <alignment horizontal="center" vertical="center" shrinkToFit="1"/>
      <protection locked="0"/>
    </xf>
    <xf numFmtId="165" fontId="143" fillId="6" borderId="18" xfId="0" applyNumberFormat="1" applyFont="1" applyFill="1" applyBorder="1" applyAlignment="1" applyProtection="1">
      <alignment horizontal="center" vertical="center" shrinkToFit="1"/>
      <protection locked="0"/>
    </xf>
    <xf numFmtId="165" fontId="143" fillId="6" borderId="19" xfId="0" applyNumberFormat="1" applyFont="1" applyFill="1" applyBorder="1" applyAlignment="1" applyProtection="1">
      <alignment horizontal="center" vertical="center" shrinkToFit="1"/>
      <protection locked="0"/>
    </xf>
    <xf numFmtId="165" fontId="143" fillId="6" borderId="20" xfId="0" applyNumberFormat="1" applyFont="1" applyFill="1" applyBorder="1" applyAlignment="1" applyProtection="1">
      <alignment horizontal="center" vertical="center" shrinkToFit="1"/>
      <protection locked="0"/>
    </xf>
    <xf numFmtId="165" fontId="99" fillId="6" borderId="36" xfId="0" applyNumberFormat="1" applyFont="1" applyFill="1" applyBorder="1" applyAlignment="1" applyProtection="1">
      <alignment horizontal="center" vertical="center" shrinkToFit="1"/>
      <protection hidden="1"/>
    </xf>
    <xf numFmtId="165" fontId="99" fillId="6" borderId="33" xfId="0" applyNumberFormat="1" applyFont="1" applyFill="1" applyBorder="1" applyAlignment="1" applyProtection="1">
      <alignment horizontal="center" vertical="center" shrinkToFit="1"/>
      <protection hidden="1"/>
    </xf>
    <xf numFmtId="165" fontId="99" fillId="6" borderId="37" xfId="0" applyNumberFormat="1" applyFont="1" applyFill="1" applyBorder="1" applyAlignment="1" applyProtection="1">
      <alignment horizontal="center" vertical="center" shrinkToFit="1"/>
      <protection hidden="1"/>
    </xf>
    <xf numFmtId="165" fontId="143" fillId="6" borderId="13" xfId="0" applyNumberFormat="1" applyFont="1" applyFill="1" applyBorder="1" applyAlignment="1" applyProtection="1">
      <alignment horizontal="center" vertical="center" shrinkToFit="1"/>
      <protection locked="0"/>
    </xf>
    <xf numFmtId="165" fontId="143" fillId="6" borderId="14" xfId="0" applyNumberFormat="1" applyFont="1" applyFill="1" applyBorder="1" applyAlignment="1" applyProtection="1">
      <alignment horizontal="center" vertical="center" shrinkToFit="1"/>
      <protection locked="0"/>
    </xf>
    <xf numFmtId="165" fontId="143" fillId="6" borderId="15" xfId="0" applyNumberFormat="1" applyFont="1" applyFill="1" applyBorder="1" applyAlignment="1" applyProtection="1">
      <alignment horizontal="center" vertical="center" shrinkToFit="1"/>
      <protection locked="0"/>
    </xf>
    <xf numFmtId="165" fontId="99" fillId="6" borderId="13" xfId="0" applyNumberFormat="1" applyFont="1" applyFill="1" applyBorder="1" applyAlignment="1" applyProtection="1">
      <alignment horizontal="center" vertical="center" shrinkToFit="1"/>
      <protection hidden="1"/>
    </xf>
    <xf numFmtId="165" fontId="99" fillId="6" borderId="14" xfId="0" applyNumberFormat="1" applyFont="1" applyFill="1" applyBorder="1" applyAlignment="1" applyProtection="1">
      <alignment horizontal="center" vertical="center" shrinkToFit="1"/>
      <protection hidden="1"/>
    </xf>
    <xf numFmtId="165" fontId="99" fillId="6" borderId="15" xfId="0" applyNumberFormat="1" applyFont="1" applyFill="1" applyBorder="1" applyAlignment="1" applyProtection="1">
      <alignment horizontal="center" vertical="center" shrinkToFit="1"/>
      <protection hidden="1"/>
    </xf>
    <xf numFmtId="165" fontId="99" fillId="6" borderId="16" xfId="0" applyNumberFormat="1" applyFont="1" applyFill="1" applyBorder="1" applyAlignment="1" applyProtection="1">
      <alignment horizontal="center" vertical="center" shrinkToFit="1"/>
      <protection hidden="1"/>
    </xf>
    <xf numFmtId="165" fontId="99" fillId="6" borderId="12" xfId="0" applyNumberFormat="1" applyFont="1" applyFill="1" applyBorder="1" applyAlignment="1" applyProtection="1">
      <alignment horizontal="center" vertical="center" shrinkToFit="1"/>
      <protection hidden="1"/>
    </xf>
    <xf numFmtId="165" fontId="99" fillId="6" borderId="17" xfId="0" applyNumberFormat="1" applyFont="1" applyFill="1" applyBorder="1" applyAlignment="1" applyProtection="1">
      <alignment horizontal="center" vertical="center" shrinkToFit="1"/>
      <protection hidden="1"/>
    </xf>
    <xf numFmtId="165" fontId="99" fillId="6" borderId="18" xfId="0" applyNumberFormat="1" applyFont="1" applyFill="1" applyBorder="1" applyAlignment="1" applyProtection="1">
      <alignment horizontal="center" vertical="center" shrinkToFit="1"/>
      <protection hidden="1"/>
    </xf>
    <xf numFmtId="165" fontId="99" fillId="6" borderId="19" xfId="0" applyNumberFormat="1" applyFont="1" applyFill="1" applyBorder="1" applyAlignment="1" applyProtection="1">
      <alignment horizontal="center" vertical="center" shrinkToFit="1"/>
      <protection hidden="1"/>
    </xf>
    <xf numFmtId="165" fontId="99" fillId="6" borderId="20" xfId="0" applyNumberFormat="1" applyFont="1" applyFill="1" applyBorder="1" applyAlignment="1" applyProtection="1">
      <alignment horizontal="center" vertical="center" shrinkToFit="1"/>
      <protection hidden="1"/>
    </xf>
    <xf numFmtId="165" fontId="143" fillId="6" borderId="13" xfId="0" applyNumberFormat="1" applyFont="1" applyFill="1" applyBorder="1" applyAlignment="1" applyProtection="1">
      <alignment horizontal="center" vertical="center" shrinkToFit="1"/>
      <protection hidden="1"/>
    </xf>
    <xf numFmtId="165" fontId="143" fillId="6" borderId="14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14" xfId="0" applyNumberFormat="1" applyFont="1" applyFill="1" applyBorder="1" applyAlignment="1" applyProtection="1">
      <alignment horizontal="center" vertical="center" shrinkToFit="1"/>
      <protection locked="0"/>
    </xf>
    <xf numFmtId="1" fontId="143" fillId="6" borderId="15" xfId="0" applyNumberFormat="1" applyFont="1" applyFill="1" applyBorder="1" applyAlignment="1" applyProtection="1">
      <alignment horizontal="center" vertical="center" shrinkToFit="1"/>
      <protection locked="0"/>
    </xf>
    <xf numFmtId="165" fontId="143" fillId="6" borderId="16" xfId="0" applyNumberFormat="1" applyFont="1" applyFill="1" applyBorder="1" applyAlignment="1" applyProtection="1">
      <alignment horizontal="center" vertical="center" shrinkToFit="1"/>
      <protection hidden="1"/>
    </xf>
    <xf numFmtId="165" fontId="143" fillId="6" borderId="12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12" xfId="0" applyNumberFormat="1" applyFont="1" applyFill="1" applyBorder="1" applyAlignment="1" applyProtection="1">
      <alignment horizontal="center" vertical="center" shrinkToFit="1"/>
      <protection locked="0"/>
    </xf>
    <xf numFmtId="1" fontId="143" fillId="6" borderId="17" xfId="0" applyNumberFormat="1" applyFont="1" applyFill="1" applyBorder="1" applyAlignment="1" applyProtection="1">
      <alignment horizontal="center" vertical="center" shrinkToFit="1"/>
      <protection locked="0"/>
    </xf>
    <xf numFmtId="1" fontId="99" fillId="6" borderId="12" xfId="0" applyNumberFormat="1" applyFont="1" applyFill="1" applyBorder="1" applyAlignment="1" applyProtection="1">
      <alignment horizontal="center" vertical="center" shrinkToFit="1"/>
      <protection hidden="1"/>
    </xf>
    <xf numFmtId="1" fontId="99" fillId="6" borderId="17" xfId="0" applyNumberFormat="1" applyFont="1" applyFill="1" applyBorder="1" applyAlignment="1" applyProtection="1">
      <alignment horizontal="center" vertical="center" shrinkToFit="1"/>
      <protection hidden="1"/>
    </xf>
    <xf numFmtId="1" fontId="99" fillId="6" borderId="19" xfId="0" applyNumberFormat="1" applyFont="1" applyFill="1" applyBorder="1" applyAlignment="1" applyProtection="1">
      <alignment horizontal="center" vertical="center" shrinkToFit="1"/>
      <protection hidden="1"/>
    </xf>
    <xf numFmtId="1" fontId="99" fillId="6" borderId="20" xfId="0" applyNumberFormat="1" applyFont="1" applyFill="1" applyBorder="1" applyAlignment="1" applyProtection="1">
      <alignment horizontal="center" vertical="center" shrinkToFit="1"/>
      <protection hidden="1"/>
    </xf>
    <xf numFmtId="165" fontId="152" fillId="6" borderId="100" xfId="0" applyNumberFormat="1" applyFont="1" applyFill="1" applyBorder="1" applyAlignment="1" applyProtection="1">
      <alignment horizontal="center" vertical="center" wrapText="1" shrinkToFit="1"/>
      <protection hidden="1"/>
    </xf>
    <xf numFmtId="165" fontId="152" fillId="6" borderId="102" xfId="0" applyNumberFormat="1" applyFont="1" applyFill="1" applyBorder="1" applyAlignment="1" applyProtection="1">
      <alignment horizontal="center" vertical="center" wrapText="1" shrinkToFit="1"/>
      <protection hidden="1"/>
    </xf>
    <xf numFmtId="165" fontId="143" fillId="6" borderId="19" xfId="0" applyNumberFormat="1" applyFont="1" applyFill="1" applyBorder="1" applyAlignment="1" applyProtection="1">
      <alignment horizontal="center" vertical="center" shrinkToFit="1"/>
      <protection hidden="1"/>
    </xf>
    <xf numFmtId="165" fontId="143" fillId="6" borderId="17" xfId="0" applyNumberFormat="1" applyFont="1" applyFill="1" applyBorder="1" applyAlignment="1" applyProtection="1">
      <alignment horizontal="center" vertical="center" shrinkToFit="1"/>
      <protection hidden="1"/>
    </xf>
    <xf numFmtId="165" fontId="143" fillId="6" borderId="20" xfId="0" applyNumberFormat="1" applyFont="1" applyFill="1" applyBorder="1" applyAlignment="1" applyProtection="1">
      <alignment horizontal="center" vertical="center" shrinkToFit="1"/>
      <protection hidden="1"/>
    </xf>
    <xf numFmtId="165" fontId="143" fillId="6" borderId="24" xfId="0" applyNumberFormat="1" applyFont="1" applyFill="1" applyBorder="1" applyAlignment="1" applyProtection="1">
      <alignment horizontal="center" vertical="center" wrapText="1" shrinkToFit="1"/>
      <protection locked="0"/>
    </xf>
    <xf numFmtId="165" fontId="143" fillId="6" borderId="21" xfId="0" applyNumberFormat="1" applyFont="1" applyFill="1" applyBorder="1" applyAlignment="1" applyProtection="1">
      <alignment horizontal="center" vertical="center" wrapText="1" shrinkToFit="1"/>
      <protection locked="0"/>
    </xf>
    <xf numFmtId="165" fontId="143" fillId="6" borderId="25" xfId="0" applyNumberFormat="1" applyFont="1" applyFill="1" applyBorder="1" applyAlignment="1" applyProtection="1">
      <alignment horizontal="center" vertical="center" wrapText="1" shrinkToFit="1"/>
      <protection locked="0"/>
    </xf>
    <xf numFmtId="165" fontId="143" fillId="6" borderId="22" xfId="0" applyNumberFormat="1" applyFont="1" applyFill="1" applyBorder="1" applyAlignment="1" applyProtection="1">
      <alignment horizontal="center" vertical="center" wrapText="1" shrinkToFit="1"/>
      <protection locked="0"/>
    </xf>
    <xf numFmtId="165" fontId="143" fillId="6" borderId="26" xfId="0" applyNumberFormat="1" applyFont="1" applyFill="1" applyBorder="1" applyAlignment="1" applyProtection="1">
      <alignment horizontal="center" vertical="center" wrapText="1" shrinkToFit="1"/>
      <protection locked="0"/>
    </xf>
    <xf numFmtId="165" fontId="143" fillId="6" borderId="23" xfId="0" applyNumberFormat="1" applyFont="1" applyFill="1" applyBorder="1" applyAlignment="1" applyProtection="1">
      <alignment horizontal="center" vertical="center" wrapText="1" shrinkToFit="1"/>
      <protection locked="0"/>
    </xf>
    <xf numFmtId="1" fontId="143" fillId="6" borderId="12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17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19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19" xfId="0" applyNumberFormat="1" applyFont="1" applyFill="1" applyBorder="1" applyAlignment="1" applyProtection="1">
      <alignment horizontal="center" vertical="center" shrinkToFit="1"/>
      <protection locked="0"/>
    </xf>
    <xf numFmtId="1" fontId="143" fillId="6" borderId="20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14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15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27" xfId="0" applyNumberFormat="1" applyFont="1" applyFill="1" applyBorder="1" applyAlignment="1" applyProtection="1">
      <alignment horizontal="center" vertical="center" shrinkToFit="1"/>
      <protection hidden="1"/>
    </xf>
    <xf numFmtId="1" fontId="143" fillId="6" borderId="101" xfId="0" applyNumberFormat="1" applyFont="1" applyFill="1" applyBorder="1" applyAlignment="1" applyProtection="1">
      <alignment horizontal="center" vertical="center" shrinkToFit="1"/>
      <protection hidden="1"/>
    </xf>
    <xf numFmtId="177" fontId="113" fillId="6" borderId="47" xfId="0" applyNumberFormat="1" applyFont="1" applyFill="1" applyBorder="1" applyAlignment="1" applyProtection="1">
      <alignment horizontal="center" vertical="center" shrinkToFit="1"/>
      <protection hidden="1"/>
    </xf>
    <xf numFmtId="177" fontId="113" fillId="6" borderId="48" xfId="0" applyNumberFormat="1" applyFont="1" applyFill="1" applyBorder="1" applyAlignment="1" applyProtection="1">
      <alignment horizontal="center" vertical="center" shrinkToFit="1"/>
      <protection hidden="1"/>
    </xf>
    <xf numFmtId="177" fontId="113" fillId="6" borderId="49" xfId="0" applyNumberFormat="1" applyFont="1" applyFill="1" applyBorder="1" applyAlignment="1" applyProtection="1">
      <alignment horizontal="center" vertical="center" shrinkToFit="1"/>
      <protection hidden="1"/>
    </xf>
    <xf numFmtId="177" fontId="101" fillId="6" borderId="14" xfId="0" applyNumberFormat="1" applyFont="1" applyFill="1" applyBorder="1" applyAlignment="1" applyProtection="1">
      <alignment horizontal="center" vertical="center" shrinkToFit="1"/>
      <protection hidden="1"/>
    </xf>
    <xf numFmtId="177" fontId="101" fillId="6" borderId="12" xfId="0" applyNumberFormat="1" applyFont="1" applyFill="1" applyBorder="1" applyAlignment="1" applyProtection="1">
      <alignment horizontal="center" vertical="center" shrinkToFit="1"/>
      <protection hidden="1"/>
    </xf>
    <xf numFmtId="177" fontId="101" fillId="6" borderId="27" xfId="0" applyNumberFormat="1" applyFont="1" applyFill="1" applyBorder="1" applyAlignment="1" applyProtection="1">
      <alignment horizontal="center" vertical="center" shrinkToFit="1"/>
      <protection hidden="1"/>
    </xf>
    <xf numFmtId="177" fontId="101" fillId="6" borderId="13" xfId="0" applyNumberFormat="1" applyFont="1" applyFill="1" applyBorder="1" applyAlignment="1" applyProtection="1">
      <alignment horizontal="center" vertical="center" shrinkToFit="1"/>
      <protection hidden="1"/>
    </xf>
    <xf numFmtId="177" fontId="101" fillId="6" borderId="100" xfId="0" applyNumberFormat="1" applyFont="1" applyFill="1" applyBorder="1" applyAlignment="1" applyProtection="1">
      <alignment horizontal="center" vertical="center" shrinkToFit="1"/>
      <protection hidden="1"/>
    </xf>
    <xf numFmtId="177" fontId="101" fillId="6" borderId="19" xfId="0" applyNumberFormat="1" applyFont="1" applyFill="1" applyBorder="1" applyAlignment="1" applyProtection="1">
      <alignment horizontal="center" vertical="center" shrinkToFit="1"/>
      <protection hidden="1"/>
    </xf>
    <xf numFmtId="165" fontId="160" fillId="6" borderId="48" xfId="0" applyNumberFormat="1" applyFont="1" applyFill="1" applyBorder="1" applyAlignment="1" applyProtection="1">
      <alignment horizontal="center" vertical="center" shrinkToFit="1"/>
      <protection hidden="1"/>
    </xf>
    <xf numFmtId="165" fontId="160" fillId="6" borderId="61" xfId="0" applyNumberFormat="1" applyFont="1" applyFill="1" applyBorder="1" applyAlignment="1" applyProtection="1">
      <alignment horizontal="center" vertical="center" shrinkToFit="1"/>
      <protection hidden="1"/>
    </xf>
    <xf numFmtId="165" fontId="159" fillId="24" borderId="48" xfId="0" applyNumberFormat="1" applyFont="1" applyFill="1" applyBorder="1" applyAlignment="1" applyProtection="1">
      <alignment horizontal="center" vertical="center" wrapText="1"/>
      <protection hidden="1"/>
    </xf>
    <xf numFmtId="165" fontId="159" fillId="24" borderId="61" xfId="0" applyNumberFormat="1" applyFont="1" applyFill="1" applyBorder="1" applyAlignment="1" applyProtection="1">
      <alignment horizontal="center" vertical="center" wrapText="1"/>
      <protection hidden="1"/>
    </xf>
    <xf numFmtId="165" fontId="160" fillId="24" borderId="48" xfId="0" applyNumberFormat="1" applyFont="1" applyFill="1" applyBorder="1" applyAlignment="1" applyProtection="1">
      <alignment horizontal="center" vertical="center" shrinkToFit="1"/>
      <protection hidden="1"/>
    </xf>
    <xf numFmtId="165" fontId="160" fillId="24" borderId="61" xfId="0" applyNumberFormat="1" applyFont="1" applyFill="1" applyBorder="1" applyAlignment="1" applyProtection="1">
      <alignment horizontal="center" vertical="center" shrinkToFit="1"/>
      <protection hidden="1"/>
    </xf>
    <xf numFmtId="165" fontId="159" fillId="6" borderId="48" xfId="0" applyNumberFormat="1" applyFont="1" applyFill="1" applyBorder="1" applyAlignment="1" applyProtection="1">
      <alignment horizontal="center" vertical="center" wrapText="1"/>
      <protection hidden="1"/>
    </xf>
    <xf numFmtId="165" fontId="159" fillId="6" borderId="6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Fill="1" applyBorder="1" applyAlignment="1" applyProtection="1">
      <alignment horizontal="center" vertical="center" wrapText="1"/>
      <protection hidden="1"/>
    </xf>
    <xf numFmtId="0" fontId="4" fillId="0" borderId="101" xfId="0" applyFont="1" applyFill="1" applyBorder="1" applyAlignment="1" applyProtection="1">
      <alignment horizontal="center" vertical="center" wrapText="1"/>
      <protection hidden="1"/>
    </xf>
    <xf numFmtId="0" fontId="101" fillId="24" borderId="36" xfId="0" applyFont="1" applyFill="1" applyBorder="1" applyAlignment="1" applyProtection="1">
      <alignment horizontal="center" vertical="center"/>
      <protection hidden="1"/>
    </xf>
    <xf numFmtId="0" fontId="101" fillId="24" borderId="33" xfId="0" applyFont="1" applyFill="1" applyBorder="1" applyAlignment="1" applyProtection="1">
      <alignment horizontal="center" vertical="center"/>
      <protection hidden="1"/>
    </xf>
    <xf numFmtId="0" fontId="101" fillId="24" borderId="37" xfId="0" applyFont="1" applyFill="1" applyBorder="1" applyAlignment="1" applyProtection="1">
      <alignment horizontal="center" vertical="center"/>
      <protection hidden="1"/>
    </xf>
    <xf numFmtId="0" fontId="98" fillId="0" borderId="13" xfId="0" applyFont="1" applyFill="1" applyBorder="1" applyAlignment="1" applyProtection="1">
      <alignment horizontal="center" vertical="center" textRotation="90" wrapText="1"/>
      <protection hidden="1"/>
    </xf>
    <xf numFmtId="0" fontId="98" fillId="0" borderId="16" xfId="0" applyFont="1" applyFill="1" applyBorder="1" applyAlignment="1" applyProtection="1">
      <alignment horizontal="center" vertical="center" textRotation="90" wrapText="1"/>
      <protection hidden="1"/>
    </xf>
    <xf numFmtId="0" fontId="98" fillId="0" borderId="100" xfId="0" applyFont="1" applyFill="1" applyBorder="1" applyAlignment="1" applyProtection="1">
      <alignment horizontal="center" vertical="center" textRotation="90" wrapText="1"/>
      <protection hidden="1"/>
    </xf>
    <xf numFmtId="0" fontId="97" fillId="24" borderId="13" xfId="0" applyFont="1" applyFill="1" applyBorder="1" applyAlignment="1" applyProtection="1">
      <alignment horizontal="center" vertical="center"/>
      <protection hidden="1"/>
    </xf>
    <xf numFmtId="0" fontId="97" fillId="24" borderId="21" xfId="0" applyFont="1" applyFill="1" applyBorder="1" applyAlignment="1" applyProtection="1">
      <alignment horizontal="center" vertical="center"/>
      <protection hidden="1"/>
    </xf>
    <xf numFmtId="0" fontId="97" fillId="24" borderId="14" xfId="0" applyFont="1" applyFill="1" applyBorder="1" applyAlignment="1" applyProtection="1">
      <alignment horizontal="center" vertical="center"/>
      <protection hidden="1"/>
    </xf>
    <xf numFmtId="176" fontId="152" fillId="24" borderId="44" xfId="0" applyNumberFormat="1" applyFont="1" applyFill="1" applyBorder="1" applyAlignment="1" applyProtection="1">
      <alignment horizontal="center" vertical="center"/>
      <protection hidden="1"/>
    </xf>
    <xf numFmtId="176" fontId="152" fillId="24" borderId="39" xfId="0" applyNumberFormat="1" applyFont="1" applyFill="1" applyBorder="1" applyAlignment="1" applyProtection="1">
      <alignment horizontal="center" vertical="center"/>
      <protection hidden="1"/>
    </xf>
    <xf numFmtId="176" fontId="152" fillId="24" borderId="22" xfId="0" applyNumberFormat="1" applyFont="1" applyFill="1" applyBorder="1" applyAlignment="1" applyProtection="1">
      <alignment horizontal="center" vertical="center"/>
      <protection hidden="1"/>
    </xf>
    <xf numFmtId="176" fontId="154" fillId="24" borderId="36" xfId="0" applyNumberFormat="1" applyFont="1" applyFill="1" applyBorder="1" applyAlignment="1" applyProtection="1">
      <alignment horizontal="center" vertical="center" wrapText="1"/>
      <protection hidden="1"/>
    </xf>
    <xf numFmtId="176" fontId="154" fillId="24" borderId="33" xfId="0" applyNumberFormat="1" applyFont="1" applyFill="1" applyBorder="1" applyAlignment="1" applyProtection="1">
      <alignment horizontal="center" vertical="center" wrapText="1"/>
      <protection hidden="1"/>
    </xf>
    <xf numFmtId="176" fontId="154" fillId="24" borderId="37" xfId="0" applyNumberFormat="1" applyFont="1" applyFill="1" applyBorder="1" applyAlignment="1" applyProtection="1">
      <alignment horizontal="center" vertical="center" wrapText="1"/>
      <protection hidden="1"/>
    </xf>
    <xf numFmtId="176" fontId="152" fillId="24" borderId="45" xfId="0" applyNumberFormat="1" applyFont="1" applyFill="1" applyBorder="1" applyAlignment="1" applyProtection="1">
      <alignment horizontal="center" vertical="center"/>
      <protection hidden="1"/>
    </xf>
    <xf numFmtId="176" fontId="152" fillId="24" borderId="40" xfId="0" applyNumberFormat="1" applyFont="1" applyFill="1" applyBorder="1" applyAlignment="1" applyProtection="1">
      <alignment horizontal="center" vertical="center"/>
      <protection hidden="1"/>
    </xf>
    <xf numFmtId="176" fontId="152" fillId="24" borderId="23" xfId="0" applyNumberFormat="1" applyFont="1" applyFill="1" applyBorder="1" applyAlignment="1" applyProtection="1">
      <alignment horizontal="center" vertical="center"/>
      <protection hidden="1"/>
    </xf>
    <xf numFmtId="176" fontId="152" fillId="24" borderId="25" xfId="0" applyNumberFormat="1" applyFont="1" applyFill="1" applyBorder="1" applyAlignment="1" applyProtection="1">
      <alignment horizontal="center" vertical="center"/>
      <protection hidden="1"/>
    </xf>
    <xf numFmtId="176" fontId="152" fillId="24" borderId="26" xfId="0" applyNumberFormat="1" applyFont="1" applyFill="1" applyBorder="1" applyAlignment="1" applyProtection="1">
      <alignment horizontal="center" vertical="center"/>
      <protection hidden="1"/>
    </xf>
    <xf numFmtId="177" fontId="151" fillId="6" borderId="13" xfId="0" applyNumberFormat="1" applyFont="1" applyFill="1" applyBorder="1" applyAlignment="1" applyProtection="1">
      <alignment horizontal="center" vertical="center" textRotation="90" shrinkToFit="1"/>
      <protection hidden="1"/>
    </xf>
    <xf numFmtId="177" fontId="151" fillId="6" borderId="18" xfId="0" applyNumberFormat="1" applyFont="1" applyFill="1" applyBorder="1" applyAlignment="1" applyProtection="1">
      <alignment horizontal="center" vertical="center" textRotation="90" shrinkToFit="1"/>
      <protection hidden="1"/>
    </xf>
    <xf numFmtId="177" fontId="151" fillId="24" borderId="13" xfId="0" applyNumberFormat="1" applyFont="1" applyFill="1" applyBorder="1" applyAlignment="1" applyProtection="1">
      <alignment horizontal="center" vertical="center" textRotation="90" shrinkToFit="1"/>
      <protection hidden="1"/>
    </xf>
    <xf numFmtId="177" fontId="151" fillId="24" borderId="18" xfId="0" applyNumberFormat="1" applyFont="1" applyFill="1" applyBorder="1" applyAlignment="1" applyProtection="1">
      <alignment horizontal="center" vertical="center" textRotation="90" shrinkToFit="1"/>
      <protection hidden="1"/>
    </xf>
    <xf numFmtId="0" fontId="98" fillId="3" borderId="123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126" xfId="0" applyBorder="1" applyProtection="1">
      <protection hidden="1"/>
    </xf>
    <xf numFmtId="176" fontId="167" fillId="0" borderId="36" xfId="0" applyNumberFormat="1" applyFont="1" applyBorder="1" applyAlignment="1" applyProtection="1">
      <alignment horizontal="center"/>
      <protection hidden="1"/>
    </xf>
    <xf numFmtId="176" fontId="167" fillId="0" borderId="33" xfId="0" applyNumberFormat="1" applyFont="1" applyBorder="1" applyAlignment="1" applyProtection="1">
      <alignment horizontal="center"/>
      <protection hidden="1"/>
    </xf>
    <xf numFmtId="176" fontId="167" fillId="0" borderId="37" xfId="0" applyNumberFormat="1" applyFont="1" applyBorder="1" applyAlignment="1" applyProtection="1">
      <alignment horizontal="center"/>
      <protection hidden="1"/>
    </xf>
    <xf numFmtId="176" fontId="167" fillId="0" borderId="123" xfId="0" applyNumberFormat="1" applyFont="1" applyBorder="1" applyAlignment="1" applyProtection="1">
      <alignment horizontal="center"/>
      <protection hidden="1"/>
    </xf>
    <xf numFmtId="176" fontId="167" fillId="0" borderId="0" xfId="0" applyNumberFormat="1" applyFont="1" applyBorder="1" applyAlignment="1" applyProtection="1">
      <alignment horizontal="center"/>
      <protection hidden="1"/>
    </xf>
    <xf numFmtId="176" fontId="167" fillId="0" borderId="126" xfId="0" applyNumberFormat="1" applyFont="1" applyBorder="1" applyAlignment="1" applyProtection="1">
      <alignment horizontal="center"/>
      <protection hidden="1"/>
    </xf>
    <xf numFmtId="0" fontId="107" fillId="3" borderId="36" xfId="0" applyFont="1" applyFill="1" applyBorder="1" applyAlignment="1" applyProtection="1">
      <alignment horizontal="center" vertical="center"/>
      <protection hidden="1"/>
    </xf>
    <xf numFmtId="0" fontId="0" fillId="0" borderId="33" xfId="0" applyBorder="1" applyProtection="1">
      <protection hidden="1"/>
    </xf>
    <xf numFmtId="0" fontId="0" fillId="0" borderId="37" xfId="0" applyBorder="1" applyProtection="1">
      <protection hidden="1"/>
    </xf>
    <xf numFmtId="165" fontId="159" fillId="6" borderId="48" xfId="0" applyNumberFormat="1" applyFont="1" applyFill="1" applyBorder="1" applyAlignment="1" applyProtection="1">
      <alignment horizontal="center" vertical="center" wrapText="1"/>
      <protection locked="0"/>
    </xf>
    <xf numFmtId="165" fontId="159" fillId="6" borderId="61" xfId="0" applyNumberFormat="1" applyFont="1" applyFill="1" applyBorder="1" applyAlignment="1" applyProtection="1">
      <alignment horizontal="center" vertical="center" wrapText="1"/>
      <protection locked="0"/>
    </xf>
    <xf numFmtId="180" fontId="147" fillId="6" borderId="19" xfId="0" applyNumberFormat="1" applyFont="1" applyFill="1" applyBorder="1" applyAlignment="1" applyProtection="1">
      <alignment horizontal="center" vertical="center" shrinkToFit="1"/>
      <protection hidden="1"/>
    </xf>
    <xf numFmtId="180" fontId="147" fillId="24" borderId="14" xfId="0" applyNumberFormat="1" applyFont="1" applyFill="1" applyBorder="1" applyAlignment="1" applyProtection="1">
      <alignment horizontal="center" vertical="center" shrinkToFit="1"/>
      <protection hidden="1"/>
    </xf>
    <xf numFmtId="0" fontId="163" fillId="0" borderId="27" xfId="0" applyFont="1" applyFill="1" applyBorder="1" applyAlignment="1" applyProtection="1">
      <alignment horizontal="center" vertical="center" textRotation="90" wrapText="1"/>
      <protection hidden="1"/>
    </xf>
    <xf numFmtId="0" fontId="163" fillId="0" borderId="46" xfId="0" applyFont="1" applyFill="1" applyBorder="1" applyAlignment="1" applyProtection="1">
      <alignment horizontal="center" vertical="center" textRotation="90" wrapText="1"/>
      <protection hidden="1"/>
    </xf>
    <xf numFmtId="0" fontId="166" fillId="0" borderId="27" xfId="0" applyFont="1" applyFill="1" applyBorder="1" applyAlignment="1" applyProtection="1">
      <alignment horizontal="center" vertical="center" textRotation="90" wrapText="1"/>
      <protection hidden="1"/>
    </xf>
    <xf numFmtId="0" fontId="166" fillId="0" borderId="46" xfId="0" applyFont="1" applyFill="1" applyBorder="1" applyAlignment="1" applyProtection="1">
      <alignment horizontal="center" vertical="center" textRotation="90" wrapText="1"/>
      <protection hidden="1"/>
    </xf>
    <xf numFmtId="180" fontId="147" fillId="24" borderId="19" xfId="0" applyNumberFormat="1" applyFont="1" applyFill="1" applyBorder="1" applyAlignment="1" applyProtection="1">
      <alignment horizontal="center" vertical="center" shrinkToFit="1"/>
      <protection hidden="1"/>
    </xf>
    <xf numFmtId="180" fontId="147" fillId="6" borderId="14" xfId="0" applyNumberFormat="1" applyFont="1" applyFill="1" applyBorder="1" applyAlignment="1" applyProtection="1">
      <alignment horizontal="center" vertical="center" shrinkToFit="1"/>
      <protection hidden="1"/>
    </xf>
    <xf numFmtId="0" fontId="98" fillId="0" borderId="14" xfId="0" applyFont="1" applyFill="1" applyBorder="1" applyAlignment="1" applyProtection="1">
      <alignment horizontal="center" vertical="center" wrapText="1"/>
      <protection hidden="1"/>
    </xf>
    <xf numFmtId="0" fontId="98" fillId="0" borderId="12" xfId="0" applyFont="1" applyFill="1" applyBorder="1" applyAlignment="1" applyProtection="1">
      <alignment horizontal="center" vertical="center" wrapText="1"/>
      <protection hidden="1"/>
    </xf>
    <xf numFmtId="0" fontId="98" fillId="0" borderId="27" xfId="0" applyFont="1" applyFill="1" applyBorder="1" applyAlignment="1" applyProtection="1">
      <alignment horizontal="center" vertical="center" wrapText="1"/>
      <protection hidden="1"/>
    </xf>
    <xf numFmtId="0" fontId="151" fillId="0" borderId="14" xfId="0" applyFont="1" applyFill="1" applyBorder="1" applyAlignment="1" applyProtection="1">
      <alignment horizontal="center" vertical="center" wrapText="1"/>
      <protection hidden="1"/>
    </xf>
    <xf numFmtId="0" fontId="113" fillId="0" borderId="12" xfId="0" applyFont="1" applyFill="1" applyBorder="1" applyAlignment="1" applyProtection="1">
      <alignment horizontal="center" vertical="center" wrapText="1"/>
      <protection hidden="1"/>
    </xf>
    <xf numFmtId="0" fontId="113" fillId="0" borderId="27" xfId="0" applyFont="1" applyFill="1" applyBorder="1" applyAlignment="1" applyProtection="1">
      <alignment horizontal="center" vertical="center" wrapText="1"/>
      <protection hidden="1"/>
    </xf>
    <xf numFmtId="177" fontId="161" fillId="6" borderId="127" xfId="0" applyNumberFormat="1" applyFont="1" applyFill="1" applyBorder="1" applyAlignment="1" applyProtection="1">
      <alignment horizontal="left" vertical="center" indent="14" shrinkToFit="1"/>
      <protection hidden="1"/>
    </xf>
    <xf numFmtId="177" fontId="161" fillId="6" borderId="128" xfId="0" applyNumberFormat="1" applyFont="1" applyFill="1" applyBorder="1" applyAlignment="1" applyProtection="1">
      <alignment horizontal="left" vertical="center" indent="14" shrinkToFit="1"/>
      <protection hidden="1"/>
    </xf>
    <xf numFmtId="177" fontId="161" fillId="6" borderId="133" xfId="0" applyNumberFormat="1" applyFont="1" applyFill="1" applyBorder="1" applyAlignment="1" applyProtection="1">
      <alignment horizontal="left" vertical="center" indent="14" shrinkToFit="1"/>
      <protection hidden="1"/>
    </xf>
    <xf numFmtId="0" fontId="173" fillId="0" borderId="24" xfId="0" applyFont="1" applyFill="1" applyBorder="1" applyAlignment="1" applyProtection="1">
      <alignment horizontal="center" vertical="center" wrapText="1"/>
      <protection hidden="1"/>
    </xf>
    <xf numFmtId="0" fontId="173" fillId="0" borderId="41" xfId="0" applyFont="1" applyFill="1" applyBorder="1" applyAlignment="1" applyProtection="1">
      <alignment horizontal="center" vertical="center" wrapText="1"/>
      <protection hidden="1"/>
    </xf>
    <xf numFmtId="0" fontId="173" fillId="0" borderId="21" xfId="0" applyFont="1" applyFill="1" applyBorder="1" applyAlignment="1" applyProtection="1">
      <alignment horizontal="center" vertical="center" wrapText="1"/>
      <protection hidden="1"/>
    </xf>
    <xf numFmtId="0" fontId="166" fillId="0" borderId="27" xfId="0" applyFont="1" applyFill="1" applyBorder="1" applyAlignment="1" applyProtection="1">
      <alignment horizontal="center" vertical="center" wrapText="1"/>
      <protection hidden="1"/>
    </xf>
    <xf numFmtId="0" fontId="166" fillId="0" borderId="46" xfId="0" applyFont="1" applyFill="1" applyBorder="1" applyAlignment="1" applyProtection="1">
      <alignment horizontal="center" vertical="center" wrapText="1"/>
      <protection hidden="1"/>
    </xf>
    <xf numFmtId="0" fontId="99" fillId="0" borderId="27" xfId="0" applyFont="1" applyFill="1" applyBorder="1" applyAlignment="1" applyProtection="1">
      <alignment horizontal="center" vertical="center" wrapText="1"/>
      <protection hidden="1"/>
    </xf>
    <xf numFmtId="0" fontId="99" fillId="0" borderId="46" xfId="0" applyFont="1" applyFill="1" applyBorder="1" applyAlignment="1" applyProtection="1">
      <alignment horizontal="center" vertical="center" wrapText="1"/>
      <protection hidden="1"/>
    </xf>
    <xf numFmtId="0" fontId="166" fillId="0" borderId="48" xfId="0" applyFont="1" applyFill="1" applyBorder="1" applyAlignment="1" applyProtection="1">
      <alignment horizontal="center" vertical="center" wrapText="1"/>
      <protection hidden="1"/>
    </xf>
    <xf numFmtId="0" fontId="157" fillId="0" borderId="27" xfId="0" applyFont="1" applyFill="1" applyBorder="1" applyAlignment="1" applyProtection="1">
      <alignment horizontal="center" vertical="center" wrapText="1"/>
      <protection hidden="1"/>
    </xf>
    <xf numFmtId="0" fontId="157" fillId="0" borderId="46" xfId="0" applyFont="1" applyFill="1" applyBorder="1" applyAlignment="1" applyProtection="1">
      <alignment horizontal="center" vertical="center" wrapText="1"/>
      <protection hidden="1"/>
    </xf>
    <xf numFmtId="0" fontId="164" fillId="0" borderId="24" xfId="0" applyFont="1" applyFill="1" applyBorder="1" applyAlignment="1" applyProtection="1">
      <alignment horizontal="center" vertical="center" wrapText="1"/>
      <protection hidden="1"/>
    </xf>
    <xf numFmtId="0" fontId="164" fillId="0" borderId="41" xfId="0" applyFont="1" applyFill="1" applyBorder="1" applyAlignment="1" applyProtection="1">
      <alignment horizontal="center" vertical="center" wrapText="1"/>
      <protection hidden="1"/>
    </xf>
    <xf numFmtId="0" fontId="164" fillId="0" borderId="21" xfId="0" applyFont="1" applyFill="1" applyBorder="1" applyAlignment="1" applyProtection="1">
      <alignment horizontal="center" vertical="center" wrapText="1"/>
      <protection hidden="1"/>
    </xf>
    <xf numFmtId="0" fontId="98" fillId="6" borderId="14" xfId="0" applyFont="1" applyFill="1" applyBorder="1" applyAlignment="1" applyProtection="1">
      <alignment horizontal="center" vertical="center"/>
      <protection hidden="1"/>
    </xf>
    <xf numFmtId="0" fontId="156" fillId="0" borderId="14" xfId="0" applyFont="1" applyFill="1" applyBorder="1" applyAlignment="1" applyProtection="1">
      <alignment horizontal="center" vertical="center" textRotation="90" wrapText="1"/>
      <protection hidden="1"/>
    </xf>
    <xf numFmtId="0" fontId="156" fillId="0" borderId="12" xfId="0" applyFont="1" applyFill="1" applyBorder="1" applyAlignment="1" applyProtection="1">
      <alignment horizontal="center" vertical="center" textRotation="90" wrapText="1"/>
      <protection hidden="1"/>
    </xf>
    <xf numFmtId="0" fontId="156" fillId="0" borderId="27" xfId="0" applyFont="1" applyFill="1" applyBorder="1" applyAlignment="1" applyProtection="1">
      <alignment horizontal="center" vertical="center" textRotation="90" wrapText="1"/>
      <protection hidden="1"/>
    </xf>
    <xf numFmtId="165" fontId="160" fillId="24" borderId="14" xfId="0" applyNumberFormat="1" applyFont="1" applyFill="1" applyBorder="1" applyAlignment="1" applyProtection="1">
      <alignment horizontal="center" vertical="center" shrinkToFit="1"/>
      <protection locked="0"/>
    </xf>
    <xf numFmtId="165" fontId="160" fillId="24" borderId="15" xfId="0" applyNumberFormat="1" applyFont="1" applyFill="1" applyBorder="1" applyAlignment="1" applyProtection="1">
      <alignment horizontal="center" vertical="center" shrinkToFit="1"/>
      <protection locked="0"/>
    </xf>
    <xf numFmtId="165" fontId="160" fillId="24" borderId="19" xfId="0" applyNumberFormat="1" applyFont="1" applyFill="1" applyBorder="1" applyAlignment="1" applyProtection="1">
      <alignment horizontal="center" vertical="center" shrinkToFit="1"/>
      <protection locked="0"/>
    </xf>
    <xf numFmtId="165" fontId="160" fillId="24" borderId="20" xfId="0" applyNumberFormat="1" applyFont="1" applyFill="1" applyBorder="1" applyAlignment="1" applyProtection="1">
      <alignment horizontal="center" vertical="center" shrinkToFit="1"/>
      <protection locked="0"/>
    </xf>
    <xf numFmtId="165" fontId="159" fillId="24" borderId="14" xfId="0" applyNumberFormat="1" applyFont="1" applyFill="1" applyBorder="1" applyAlignment="1" applyProtection="1">
      <alignment horizontal="center" vertical="center" shrinkToFit="1"/>
      <protection locked="0"/>
    </xf>
    <xf numFmtId="165" fontId="159" fillId="24" borderId="19" xfId="0" applyNumberFormat="1" applyFont="1" applyFill="1" applyBorder="1" applyAlignment="1" applyProtection="1">
      <alignment horizontal="center" vertical="center" shrinkToFit="1"/>
      <protection locked="0"/>
    </xf>
    <xf numFmtId="165" fontId="160" fillId="6" borderId="14" xfId="0" applyNumberFormat="1" applyFont="1" applyFill="1" applyBorder="1" applyAlignment="1" applyProtection="1">
      <alignment horizontal="center" vertical="center" shrinkToFit="1"/>
      <protection locked="0"/>
    </xf>
    <xf numFmtId="165" fontId="160" fillId="6" borderId="15" xfId="0" applyNumberFormat="1" applyFont="1" applyFill="1" applyBorder="1" applyAlignment="1" applyProtection="1">
      <alignment horizontal="center" vertical="center" shrinkToFit="1"/>
      <protection locked="0"/>
    </xf>
    <xf numFmtId="165" fontId="160" fillId="6" borderId="19" xfId="0" applyNumberFormat="1" applyFont="1" applyFill="1" applyBorder="1" applyAlignment="1" applyProtection="1">
      <alignment horizontal="center" vertical="center" shrinkToFit="1"/>
      <protection locked="0"/>
    </xf>
    <xf numFmtId="165" fontId="160" fillId="6" borderId="20" xfId="0" applyNumberFormat="1" applyFont="1" applyFill="1" applyBorder="1" applyAlignment="1" applyProtection="1">
      <alignment horizontal="center" vertical="center" shrinkToFit="1"/>
      <protection locked="0"/>
    </xf>
    <xf numFmtId="1" fontId="113" fillId="24" borderId="19" xfId="0" applyNumberFormat="1" applyFont="1" applyFill="1" applyBorder="1" applyAlignment="1" applyProtection="1">
      <alignment horizontal="center" vertical="center" wrapText="1"/>
      <protection locked="0"/>
    </xf>
    <xf numFmtId="165" fontId="159" fillId="24" borderId="14" xfId="0" applyNumberFormat="1" applyFont="1" applyFill="1" applyBorder="1" applyAlignment="1" applyProtection="1">
      <alignment horizontal="center" vertical="center" wrapText="1"/>
      <protection locked="0"/>
    </xf>
    <xf numFmtId="165" fontId="159" fillId="24" borderId="19" xfId="0" applyNumberFormat="1" applyFont="1" applyFill="1" applyBorder="1" applyAlignment="1" applyProtection="1">
      <alignment horizontal="center" vertical="center" wrapText="1"/>
      <protection locked="0"/>
    </xf>
    <xf numFmtId="165" fontId="159" fillId="6" borderId="14" xfId="0" applyNumberFormat="1" applyFont="1" applyFill="1" applyBorder="1" applyAlignment="1" applyProtection="1">
      <alignment horizontal="center" vertical="center" wrapText="1"/>
      <protection locked="0"/>
    </xf>
    <xf numFmtId="165" fontId="159" fillId="6" borderId="19" xfId="0" applyNumberFormat="1" applyFont="1" applyFill="1" applyBorder="1" applyAlignment="1" applyProtection="1">
      <alignment horizontal="center" vertical="center" wrapText="1"/>
      <protection locked="0"/>
    </xf>
    <xf numFmtId="165" fontId="159" fillId="6" borderId="14" xfId="0" applyNumberFormat="1" applyFont="1" applyFill="1" applyBorder="1" applyAlignment="1" applyProtection="1">
      <alignment horizontal="center" vertical="center" shrinkToFit="1"/>
      <protection locked="0"/>
    </xf>
    <xf numFmtId="0" fontId="164" fillId="0" borderId="14" xfId="0" applyFont="1" applyFill="1" applyBorder="1" applyAlignment="1" applyProtection="1">
      <alignment horizontal="center" vertical="center" wrapText="1"/>
      <protection hidden="1"/>
    </xf>
    <xf numFmtId="0" fontId="164" fillId="0" borderId="19" xfId="0" applyFont="1" applyFill="1" applyBorder="1" applyAlignment="1" applyProtection="1">
      <alignment horizontal="center" vertical="center" wrapText="1"/>
      <protection hidden="1"/>
    </xf>
    <xf numFmtId="1" fontId="113" fillId="24" borderId="14" xfId="0" applyNumberFormat="1" applyFont="1" applyFill="1" applyBorder="1" applyAlignment="1" applyProtection="1">
      <alignment horizontal="center" vertical="center" wrapText="1"/>
      <protection locked="0"/>
    </xf>
    <xf numFmtId="1" fontId="113" fillId="6" borderId="14" xfId="0" applyNumberFormat="1" applyFont="1" applyFill="1" applyBorder="1" applyAlignment="1" applyProtection="1">
      <alignment horizontal="center" vertical="center" wrapText="1"/>
      <protection locked="0"/>
    </xf>
    <xf numFmtId="1" fontId="113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164" fillId="0" borderId="15" xfId="0" applyFont="1" applyFill="1" applyBorder="1" applyAlignment="1" applyProtection="1">
      <alignment horizontal="center" vertical="center" wrapText="1"/>
      <protection hidden="1"/>
    </xf>
    <xf numFmtId="0" fontId="164" fillId="0" borderId="20" xfId="0" applyFont="1" applyFill="1" applyBorder="1" applyAlignment="1" applyProtection="1">
      <alignment horizontal="center" vertical="center" wrapText="1"/>
      <protection hidden="1"/>
    </xf>
    <xf numFmtId="0" fontId="168" fillId="0" borderId="14" xfId="0" applyFont="1" applyFill="1" applyBorder="1" applyAlignment="1" applyProtection="1">
      <alignment horizontal="center" vertical="center" wrapText="1"/>
      <protection hidden="1"/>
    </xf>
    <xf numFmtId="0" fontId="169" fillId="0" borderId="19" xfId="0" applyFont="1" applyFill="1" applyBorder="1" applyAlignment="1" applyProtection="1">
      <alignment horizontal="center" vertical="center" wrapText="1"/>
      <protection hidden="1"/>
    </xf>
    <xf numFmtId="1" fontId="170" fillId="6" borderId="14" xfId="0" applyNumberFormat="1" applyFont="1" applyFill="1" applyBorder="1" applyAlignment="1" applyProtection="1">
      <alignment horizontal="center" vertical="center" shrinkToFit="1"/>
      <protection hidden="1"/>
    </xf>
    <xf numFmtId="1" fontId="170" fillId="6" borderId="19" xfId="0" applyNumberFormat="1" applyFont="1" applyFill="1" applyBorder="1" applyAlignment="1" applyProtection="1">
      <alignment horizontal="center" vertical="center" shrinkToFit="1"/>
      <protection hidden="1"/>
    </xf>
    <xf numFmtId="0" fontId="165" fillId="0" borderId="19" xfId="0" applyFont="1" applyFill="1" applyBorder="1" applyAlignment="1" applyProtection="1">
      <alignment horizontal="center" vertical="center" wrapText="1"/>
      <protection hidden="1"/>
    </xf>
    <xf numFmtId="1" fontId="170" fillId="24" borderId="14" xfId="0" applyNumberFormat="1" applyFont="1" applyFill="1" applyBorder="1" applyAlignment="1" applyProtection="1">
      <alignment horizontal="center" vertical="center" shrinkToFit="1"/>
      <protection hidden="1"/>
    </xf>
    <xf numFmtId="1" fontId="170" fillId="24" borderId="19" xfId="0" applyNumberFormat="1" applyFont="1" applyFill="1" applyBorder="1" applyAlignment="1" applyProtection="1">
      <alignment horizontal="center" vertical="center" shrinkToFit="1"/>
      <protection hidden="1"/>
    </xf>
    <xf numFmtId="177" fontId="165" fillId="24" borderId="13" xfId="0" applyNumberFormat="1" applyFont="1" applyFill="1" applyBorder="1" applyAlignment="1" applyProtection="1">
      <alignment horizontal="center" vertical="center" textRotation="90" shrinkToFit="1"/>
      <protection hidden="1"/>
    </xf>
    <xf numFmtId="177" fontId="165" fillId="24" borderId="18" xfId="0" applyNumberFormat="1" applyFont="1" applyFill="1" applyBorder="1" applyAlignment="1" applyProtection="1">
      <alignment horizontal="center" vertical="center" textRotation="90" shrinkToFit="1"/>
      <protection hidden="1"/>
    </xf>
    <xf numFmtId="165" fontId="159" fillId="6" borderId="19" xfId="0" applyNumberFormat="1" applyFont="1" applyFill="1" applyBorder="1" applyAlignment="1" applyProtection="1">
      <alignment horizontal="center" vertical="center" shrinkToFit="1"/>
      <protection locked="0"/>
    </xf>
    <xf numFmtId="177" fontId="165" fillId="6" borderId="13" xfId="0" applyNumberFormat="1" applyFont="1" applyFill="1" applyBorder="1" applyAlignment="1" applyProtection="1">
      <alignment horizontal="center" vertical="center" textRotation="90" shrinkToFit="1"/>
      <protection hidden="1"/>
    </xf>
    <xf numFmtId="177" fontId="165" fillId="6" borderId="18" xfId="0" applyNumberFormat="1" applyFont="1" applyFill="1" applyBorder="1" applyAlignment="1" applyProtection="1">
      <alignment horizontal="center" vertical="center" textRotation="90" shrinkToFit="1"/>
      <protection hidden="1"/>
    </xf>
    <xf numFmtId="0" fontId="157" fillId="0" borderId="14" xfId="0" applyFont="1" applyFill="1" applyBorder="1" applyAlignment="1" applyProtection="1">
      <alignment horizontal="center" vertical="center" wrapText="1"/>
      <protection hidden="1"/>
    </xf>
    <xf numFmtId="0" fontId="157" fillId="0" borderId="19" xfId="0" applyFont="1" applyFill="1" applyBorder="1" applyAlignment="1" applyProtection="1">
      <alignment horizontal="center" vertical="center" wrapText="1"/>
      <protection hidden="1"/>
    </xf>
    <xf numFmtId="0" fontId="98" fillId="0" borderId="18" xfId="0" applyFont="1" applyFill="1" applyBorder="1" applyAlignment="1" applyProtection="1">
      <alignment horizontal="center" vertical="center" textRotation="90" wrapText="1"/>
      <protection hidden="1"/>
    </xf>
    <xf numFmtId="0" fontId="98" fillId="0" borderId="19" xfId="0" applyFont="1" applyFill="1" applyBorder="1" applyAlignment="1" applyProtection="1">
      <alignment horizontal="center" vertical="center" wrapText="1"/>
      <protection hidden="1"/>
    </xf>
    <xf numFmtId="0" fontId="175" fillId="4" borderId="0" xfId="0" applyFont="1" applyFill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5" tint="0.59996337778862885"/>
      </font>
      <fill>
        <patternFill>
          <bgColor theme="5" tint="0.39994506668294322"/>
        </patternFill>
      </fill>
    </dxf>
    <dxf>
      <font>
        <color theme="0"/>
      </font>
    </dxf>
    <dxf>
      <font>
        <color rgb="FFC00000"/>
      </font>
    </dxf>
    <dxf>
      <font>
        <color theme="9" tint="0.79998168889431442"/>
      </font>
      <fill>
        <patternFill>
          <bgColor rgb="FF7030A0"/>
        </patternFill>
      </fill>
    </dxf>
    <dxf>
      <font>
        <color theme="9" tint="0.79998168889431442"/>
      </font>
      <fill>
        <patternFill>
          <bgColor rgb="FF7030A0"/>
        </patternFill>
      </fill>
    </dxf>
    <dxf>
      <font>
        <color theme="5" tint="0.79998168889431442"/>
      </font>
    </dxf>
    <dxf>
      <font>
        <color rgb="FFC00000"/>
      </font>
    </dxf>
    <dxf>
      <font>
        <color theme="9" tint="0.79998168889431442"/>
      </font>
      <fill>
        <patternFill>
          <bgColor rgb="FF7030A0"/>
        </patternFill>
      </fill>
    </dxf>
    <dxf>
      <font>
        <color rgb="FF002060"/>
      </font>
      <fill>
        <patternFill>
          <bgColor rgb="FF92D050"/>
        </patternFill>
      </fill>
    </dxf>
    <dxf>
      <font>
        <color theme="0"/>
      </font>
    </dxf>
    <dxf>
      <font>
        <color theme="5" tint="0.79998168889431442"/>
      </font>
    </dxf>
    <dxf>
      <font>
        <color rgb="FFC00000"/>
      </font>
    </dxf>
    <dxf>
      <font>
        <color theme="9" tint="0.79998168889431442"/>
      </font>
      <fill>
        <patternFill>
          <bgColor rgb="FF7030A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12</xdr:col>
      <xdr:colOff>0</xdr:colOff>
      <xdr:row>11</xdr:row>
      <xdr:rowOff>9525</xdr:rowOff>
    </xdr:to>
    <xdr:pic>
      <xdr:nvPicPr>
        <xdr:cNvPr id="2" name="Picture 1" descr="DSC_907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53475" y="1657350"/>
          <a:ext cx="2781300" cy="2219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22414</xdr:colOff>
      <xdr:row>25</xdr:row>
      <xdr:rowOff>33617</xdr:rowOff>
    </xdr:from>
    <xdr:to>
      <xdr:col>9</xdr:col>
      <xdr:colOff>762001</xdr:colOff>
      <xdr:row>37</xdr:row>
      <xdr:rowOff>313765</xdr:rowOff>
    </xdr:to>
    <xdr:pic>
      <xdr:nvPicPr>
        <xdr:cNvPr id="2" name="Picture 1" descr="444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61" y="7552764"/>
          <a:ext cx="5490881" cy="3776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22414</xdr:colOff>
      <xdr:row>25</xdr:row>
      <xdr:rowOff>33617</xdr:rowOff>
    </xdr:from>
    <xdr:to>
      <xdr:col>9</xdr:col>
      <xdr:colOff>762001</xdr:colOff>
      <xdr:row>37</xdr:row>
      <xdr:rowOff>313764</xdr:rowOff>
    </xdr:to>
    <xdr:pic>
      <xdr:nvPicPr>
        <xdr:cNvPr id="2" name="Picture 1" descr="444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139" y="7425017"/>
          <a:ext cx="5483037" cy="382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12"/>
  <sheetViews>
    <sheetView showGridLines="0" showRowColHeaders="0" tabSelected="1" workbookViewId="0">
      <selection activeCell="B12" sqref="B12:J12"/>
    </sheetView>
  </sheetViews>
  <sheetFormatPr defaultColWidth="0" defaultRowHeight="15" zeroHeight="1"/>
  <cols>
    <col min="1" max="1" width="3.28515625" style="55" customWidth="1"/>
    <col min="2" max="2" width="6.7109375" style="55" customWidth="1"/>
    <col min="3" max="4" width="12.5703125" style="55" customWidth="1"/>
    <col min="5" max="5" width="14" style="55" customWidth="1"/>
    <col min="6" max="6" width="12.5703125" style="55" customWidth="1"/>
    <col min="7" max="7" width="2.42578125" style="55" customWidth="1"/>
    <col min="8" max="10" width="21.5703125" style="55" customWidth="1"/>
    <col min="11" max="11" width="2.42578125" style="55" customWidth="1"/>
    <col min="12" max="12" width="41.7109375" style="55" customWidth="1"/>
    <col min="13" max="13" width="2.85546875" style="55" customWidth="1"/>
    <col min="14" max="16384" width="9.140625" style="55" hidden="1"/>
  </cols>
  <sheetData>
    <row r="1" spans="1:13" ht="15.75" thickBot="1">
      <c r="A1" s="389"/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ht="30" customHeight="1" thickBot="1">
      <c r="A2" s="389"/>
      <c r="B2" s="386" t="s">
        <v>202</v>
      </c>
      <c r="C2" s="387"/>
      <c r="D2" s="387"/>
      <c r="E2" s="387"/>
      <c r="F2" s="387"/>
      <c r="G2" s="387"/>
      <c r="H2" s="387"/>
      <c r="I2" s="387"/>
      <c r="J2" s="388"/>
      <c r="K2" s="389"/>
      <c r="L2" s="105" t="s">
        <v>281</v>
      </c>
      <c r="M2" s="389"/>
    </row>
    <row r="3" spans="1:13" ht="15.75" customHeight="1" thickBot="1">
      <c r="A3" s="389"/>
      <c r="B3" s="390"/>
      <c r="C3" s="390"/>
      <c r="D3" s="390"/>
      <c r="E3" s="390"/>
      <c r="F3" s="390"/>
      <c r="G3" s="390"/>
      <c r="H3" s="390"/>
      <c r="I3" s="390"/>
      <c r="J3" s="390"/>
      <c r="K3" s="389"/>
      <c r="L3" s="392" t="s">
        <v>282</v>
      </c>
      <c r="M3" s="389"/>
    </row>
    <row r="4" spans="1:13" ht="50.25" customHeight="1" thickBot="1">
      <c r="A4" s="389"/>
      <c r="B4" s="412" t="s">
        <v>262</v>
      </c>
      <c r="C4" s="413"/>
      <c r="D4" s="413"/>
      <c r="E4" s="413"/>
      <c r="F4" s="414"/>
      <c r="G4" s="391"/>
      <c r="H4" s="394" t="s">
        <v>258</v>
      </c>
      <c r="I4" s="395"/>
      <c r="J4" s="396"/>
      <c r="K4" s="389"/>
      <c r="L4" s="392"/>
      <c r="M4" s="389"/>
    </row>
    <row r="5" spans="1:13" ht="18.75" customHeight="1">
      <c r="A5" s="389"/>
      <c r="B5" s="93" t="s">
        <v>107</v>
      </c>
      <c r="C5" s="94" t="s">
        <v>249</v>
      </c>
      <c r="D5" s="95" t="s">
        <v>250</v>
      </c>
      <c r="E5" s="95" t="s">
        <v>251</v>
      </c>
      <c r="F5" s="96" t="s">
        <v>252</v>
      </c>
      <c r="G5" s="391"/>
      <c r="H5" s="415" t="s">
        <v>261</v>
      </c>
      <c r="I5" s="416"/>
      <c r="J5" s="417"/>
      <c r="K5" s="389"/>
      <c r="L5" s="392"/>
      <c r="M5" s="389"/>
    </row>
    <row r="6" spans="1:13" ht="48.75" customHeight="1">
      <c r="A6" s="389"/>
      <c r="B6" s="97">
        <v>1</v>
      </c>
      <c r="C6" s="98" t="s">
        <v>33</v>
      </c>
      <c r="D6" s="99" t="s">
        <v>235</v>
      </c>
      <c r="E6" s="99" t="s">
        <v>253</v>
      </c>
      <c r="F6" s="100" t="s">
        <v>254</v>
      </c>
      <c r="G6" s="391"/>
      <c r="H6" s="383" t="s">
        <v>347</v>
      </c>
      <c r="I6" s="384"/>
      <c r="J6" s="385"/>
      <c r="K6" s="389"/>
      <c r="L6" s="393"/>
      <c r="M6" s="389"/>
    </row>
    <row r="7" spans="1:13" ht="32.25" customHeight="1" thickBot="1">
      <c r="A7" s="389"/>
      <c r="B7" s="101">
        <v>2</v>
      </c>
      <c r="C7" s="102" t="s">
        <v>36</v>
      </c>
      <c r="D7" s="103" t="s">
        <v>239</v>
      </c>
      <c r="E7" s="103" t="s">
        <v>255</v>
      </c>
      <c r="F7" s="104" t="s">
        <v>256</v>
      </c>
      <c r="G7" s="391"/>
      <c r="H7" s="383" t="s">
        <v>259</v>
      </c>
      <c r="I7" s="384"/>
      <c r="J7" s="385"/>
      <c r="K7" s="389"/>
      <c r="L7" s="393"/>
      <c r="M7" s="389"/>
    </row>
    <row r="8" spans="1:13" ht="23.25" customHeight="1">
      <c r="A8" s="389"/>
      <c r="B8" s="397" t="s">
        <v>257</v>
      </c>
      <c r="C8" s="398"/>
      <c r="D8" s="398"/>
      <c r="E8" s="398"/>
      <c r="F8" s="399"/>
      <c r="G8" s="391"/>
      <c r="H8" s="406" t="s">
        <v>280</v>
      </c>
      <c r="I8" s="407"/>
      <c r="J8" s="408"/>
      <c r="K8" s="389"/>
      <c r="L8" s="393"/>
      <c r="M8" s="389"/>
    </row>
    <row r="9" spans="1:13" ht="23.25" customHeight="1">
      <c r="A9" s="389"/>
      <c r="B9" s="400"/>
      <c r="C9" s="401"/>
      <c r="D9" s="401"/>
      <c r="E9" s="401"/>
      <c r="F9" s="402"/>
      <c r="G9" s="391"/>
      <c r="H9" s="406"/>
      <c r="I9" s="407"/>
      <c r="J9" s="408"/>
      <c r="K9" s="389"/>
      <c r="L9" s="393"/>
      <c r="M9" s="389"/>
    </row>
    <row r="10" spans="1:13" ht="23.25" customHeight="1">
      <c r="A10" s="389"/>
      <c r="B10" s="400"/>
      <c r="C10" s="401"/>
      <c r="D10" s="401"/>
      <c r="E10" s="401"/>
      <c r="F10" s="402"/>
      <c r="G10" s="391"/>
      <c r="H10" s="406"/>
      <c r="I10" s="407"/>
      <c r="J10" s="408"/>
      <c r="K10" s="389"/>
      <c r="L10" s="393"/>
      <c r="M10" s="389"/>
    </row>
    <row r="11" spans="1:13" ht="23.25" customHeight="1" thickBot="1">
      <c r="A11" s="389"/>
      <c r="B11" s="403"/>
      <c r="C11" s="404"/>
      <c r="D11" s="404"/>
      <c r="E11" s="404"/>
      <c r="F11" s="405"/>
      <c r="G11" s="391"/>
      <c r="H11" s="409"/>
      <c r="I11" s="410"/>
      <c r="J11" s="411"/>
      <c r="K11" s="389"/>
      <c r="L11" s="393"/>
      <c r="M11" s="389"/>
    </row>
    <row r="12" spans="1:13" ht="34.5" customHeight="1">
      <c r="A12" s="389"/>
      <c r="B12" s="1291" t="s">
        <v>437</v>
      </c>
      <c r="C12" s="1291"/>
      <c r="D12" s="1291"/>
      <c r="E12" s="1291"/>
      <c r="F12" s="1291"/>
      <c r="G12" s="1291"/>
      <c r="H12" s="1291"/>
      <c r="I12" s="1291"/>
      <c r="J12" s="1291"/>
      <c r="K12" s="389"/>
      <c r="L12" s="106"/>
      <c r="M12" s="389"/>
    </row>
  </sheetData>
  <sheetProtection password="E8FA" sheet="1" objects="1" scenarios="1" formatCells="0" formatColumns="0" formatRows="0" selectLockedCells="1"/>
  <mergeCells count="17">
    <mergeCell ref="H5:J5"/>
    <mergeCell ref="H6:J6"/>
    <mergeCell ref="H7:J7"/>
    <mergeCell ref="B2:J2"/>
    <mergeCell ref="A1:M1"/>
    <mergeCell ref="A2:A12"/>
    <mergeCell ref="B3:J3"/>
    <mergeCell ref="K2:K12"/>
    <mergeCell ref="B12:J12"/>
    <mergeCell ref="M2:M12"/>
    <mergeCell ref="G4:G11"/>
    <mergeCell ref="L3:L5"/>
    <mergeCell ref="L6:L11"/>
    <mergeCell ref="H4:J4"/>
    <mergeCell ref="B8:F11"/>
    <mergeCell ref="H8:J11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AE54"/>
  <sheetViews>
    <sheetView zoomScale="85" zoomScaleNormal="85" workbookViewId="0">
      <selection activeCell="G22" sqref="G22"/>
    </sheetView>
  </sheetViews>
  <sheetFormatPr defaultColWidth="0" defaultRowHeight="15"/>
  <cols>
    <col min="1" max="1" width="1.7109375" style="18" customWidth="1"/>
    <col min="2" max="2" width="13" style="69" customWidth="1"/>
    <col min="3" max="3" width="23.5703125" style="69" customWidth="1"/>
    <col min="4" max="7" width="16.7109375" style="69" customWidth="1"/>
    <col min="8" max="8" width="13" style="69" customWidth="1"/>
    <col min="9" max="9" width="14.85546875" style="69" customWidth="1"/>
    <col min="10" max="10" width="16.7109375" style="69" customWidth="1"/>
    <col min="11" max="11" width="22.42578125" style="18" customWidth="1"/>
    <col min="12" max="12" width="2" style="18" customWidth="1"/>
    <col min="13" max="16" width="10" style="70" customWidth="1"/>
    <col min="17" max="27" width="13.42578125" style="70" hidden="1" customWidth="1"/>
    <col min="28" max="28" width="8" style="70" hidden="1" customWidth="1"/>
    <col min="29" max="29" width="1.7109375" style="18" customWidth="1"/>
    <col min="30" max="30" width="1.5703125" style="18" customWidth="1"/>
    <col min="31" max="31" width="0" style="18" hidden="1" customWidth="1"/>
    <col min="32" max="16384" width="9.140625" style="18" hidden="1"/>
  </cols>
  <sheetData>
    <row r="1" spans="1:30" s="42" customFormat="1" ht="6.75" customHeight="1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</row>
    <row r="2" spans="1:30" ht="26.25" customHeight="1">
      <c r="A2" s="462"/>
      <c r="B2" s="477" t="s">
        <v>112</v>
      </c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42"/>
      <c r="AD2" s="462"/>
    </row>
    <row r="3" spans="1:30" ht="24" customHeight="1" thickBot="1">
      <c r="A3" s="462"/>
      <c r="B3" s="479" t="s">
        <v>114</v>
      </c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" t="s">
        <v>128</v>
      </c>
      <c r="R3" s="4" t="s">
        <v>129</v>
      </c>
      <c r="S3" s="4" t="s">
        <v>130</v>
      </c>
      <c r="T3" s="4" t="s">
        <v>131</v>
      </c>
      <c r="U3" s="4" t="s">
        <v>132</v>
      </c>
      <c r="V3" s="4" t="s">
        <v>133</v>
      </c>
      <c r="W3" s="4" t="s">
        <v>134</v>
      </c>
      <c r="X3" s="4" t="s">
        <v>135</v>
      </c>
      <c r="Y3" s="4" t="s">
        <v>136</v>
      </c>
      <c r="Z3" s="4" t="s">
        <v>137</v>
      </c>
      <c r="AA3" s="4" t="s">
        <v>138</v>
      </c>
      <c r="AB3" s="4" t="s">
        <v>139</v>
      </c>
      <c r="AC3" s="42"/>
      <c r="AD3" s="462"/>
    </row>
    <row r="4" spans="1:30" ht="33.75" customHeight="1" thickBot="1">
      <c r="A4" s="462"/>
      <c r="B4" s="456" t="s">
        <v>87</v>
      </c>
      <c r="C4" s="457"/>
      <c r="D4" s="481" t="s">
        <v>83</v>
      </c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2"/>
      <c r="Q4" s="4">
        <v>2018</v>
      </c>
      <c r="R4" s="4">
        <v>2019</v>
      </c>
      <c r="S4" s="4">
        <v>2020</v>
      </c>
      <c r="T4" s="4">
        <v>2021</v>
      </c>
      <c r="U4" s="4">
        <v>2022</v>
      </c>
      <c r="V4" s="4">
        <v>2023</v>
      </c>
      <c r="W4" s="4">
        <v>2024</v>
      </c>
      <c r="X4" s="4">
        <v>2025</v>
      </c>
      <c r="Y4" s="4">
        <v>2026</v>
      </c>
      <c r="Z4" s="4">
        <v>2027</v>
      </c>
      <c r="AA4" s="4">
        <v>2028</v>
      </c>
      <c r="AB4" s="4">
        <v>2029</v>
      </c>
      <c r="AC4" s="42"/>
      <c r="AD4" s="462"/>
    </row>
    <row r="5" spans="1:30" ht="9" customHeight="1" thickBot="1">
      <c r="A5" s="462"/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2"/>
      <c r="M5" s="67"/>
      <c r="N5" s="67"/>
      <c r="O5" s="67"/>
      <c r="P5" s="67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42"/>
      <c r="AD5" s="462"/>
    </row>
    <row r="6" spans="1:30" ht="24.75" customHeight="1" thickBot="1">
      <c r="A6" s="462"/>
      <c r="B6" s="458" t="s">
        <v>86</v>
      </c>
      <c r="C6" s="459"/>
      <c r="D6" s="460" t="s">
        <v>194</v>
      </c>
      <c r="E6" s="461"/>
      <c r="F6" s="494" t="s">
        <v>303</v>
      </c>
      <c r="G6" s="494"/>
      <c r="H6" s="495"/>
      <c r="I6" s="496" t="s">
        <v>139</v>
      </c>
      <c r="J6" s="497"/>
      <c r="K6" s="164">
        <v>2022</v>
      </c>
      <c r="L6" s="510"/>
      <c r="M6" s="421"/>
      <c r="N6" s="421"/>
      <c r="O6" s="421"/>
      <c r="P6" s="421"/>
      <c r="Q6" s="463" t="s">
        <v>140</v>
      </c>
      <c r="R6" s="463"/>
      <c r="S6" s="464"/>
      <c r="T6" s="465">
        <f>DATE(K6,MONTH(I6&amp;1),1)</f>
        <v>44896</v>
      </c>
      <c r="U6" s="466"/>
      <c r="V6" s="5"/>
      <c r="W6" s="6" t="s">
        <v>141</v>
      </c>
      <c r="X6" s="5"/>
      <c r="Y6" s="5"/>
      <c r="Z6" s="5"/>
      <c r="AA6" s="5"/>
      <c r="AB6" s="5"/>
      <c r="AC6" s="42"/>
      <c r="AD6" s="462"/>
    </row>
    <row r="7" spans="1:30" s="68" customFormat="1" ht="20.25" customHeight="1" thickBot="1">
      <c r="A7" s="462"/>
      <c r="B7" s="488" t="s">
        <v>88</v>
      </c>
      <c r="C7" s="489"/>
      <c r="D7" s="454" t="s">
        <v>5</v>
      </c>
      <c r="E7" s="455"/>
      <c r="F7" s="498" t="s">
        <v>302</v>
      </c>
      <c r="G7" s="499"/>
      <c r="H7" s="499"/>
      <c r="I7" s="502" t="s">
        <v>177</v>
      </c>
      <c r="J7" s="502"/>
      <c r="K7" s="503"/>
      <c r="L7" s="510"/>
      <c r="M7" s="493"/>
      <c r="N7" s="493"/>
      <c r="O7" s="493"/>
      <c r="P7" s="493"/>
      <c r="Q7" s="467" t="s">
        <v>142</v>
      </c>
      <c r="R7" s="467"/>
      <c r="S7" s="468"/>
      <c r="T7" s="471">
        <f>EOMONTH(T6,0)</f>
        <v>44926</v>
      </c>
      <c r="U7" s="472"/>
      <c r="V7" s="5"/>
      <c r="W7" s="475">
        <f>T7-T6+1</f>
        <v>31</v>
      </c>
      <c r="X7" s="5"/>
      <c r="Y7" s="5"/>
      <c r="Z7" s="5"/>
      <c r="AA7" s="5"/>
      <c r="AB7" s="5"/>
      <c r="AC7" s="42"/>
      <c r="AD7" s="462"/>
    </row>
    <row r="8" spans="1:30" s="68" customFormat="1" ht="20.25" customHeight="1">
      <c r="A8" s="462"/>
      <c r="B8" s="422" t="s">
        <v>89</v>
      </c>
      <c r="C8" s="423"/>
      <c r="D8" s="430" t="s">
        <v>10</v>
      </c>
      <c r="E8" s="431"/>
      <c r="F8" s="422" t="s">
        <v>94</v>
      </c>
      <c r="G8" s="426"/>
      <c r="H8" s="423"/>
      <c r="I8" s="430" t="s">
        <v>84</v>
      </c>
      <c r="J8" s="431"/>
      <c r="K8" s="432"/>
      <c r="L8" s="510"/>
      <c r="M8" s="504" t="s">
        <v>299</v>
      </c>
      <c r="N8" s="505"/>
      <c r="O8" s="505"/>
      <c r="P8" s="506"/>
      <c r="Q8" s="469"/>
      <c r="R8" s="469"/>
      <c r="S8" s="470"/>
      <c r="T8" s="473"/>
      <c r="U8" s="474"/>
      <c r="V8" s="5"/>
      <c r="W8" s="476"/>
      <c r="X8" s="5"/>
      <c r="Y8" s="5"/>
      <c r="Z8" s="5"/>
      <c r="AA8" s="5"/>
      <c r="AB8" s="5"/>
      <c r="AC8" s="42"/>
      <c r="AD8" s="462"/>
    </row>
    <row r="9" spans="1:30" s="68" customFormat="1" ht="20.25" customHeight="1" thickBot="1">
      <c r="A9" s="462"/>
      <c r="B9" s="422" t="s">
        <v>90</v>
      </c>
      <c r="C9" s="423"/>
      <c r="D9" s="484" t="s">
        <v>85</v>
      </c>
      <c r="E9" s="485"/>
      <c r="F9" s="422" t="s">
        <v>95</v>
      </c>
      <c r="G9" s="426"/>
      <c r="H9" s="423"/>
      <c r="I9" s="430">
        <v>0</v>
      </c>
      <c r="J9" s="431"/>
      <c r="K9" s="432"/>
      <c r="L9" s="510"/>
      <c r="M9" s="507"/>
      <c r="N9" s="508"/>
      <c r="O9" s="508"/>
      <c r="P9" s="509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42"/>
      <c r="AD9" s="462"/>
    </row>
    <row r="10" spans="1:30" s="68" customFormat="1" ht="20.25" customHeight="1">
      <c r="A10" s="462"/>
      <c r="B10" s="422" t="s">
        <v>91</v>
      </c>
      <c r="C10" s="423"/>
      <c r="D10" s="486" t="s">
        <v>75</v>
      </c>
      <c r="E10" s="487"/>
      <c r="F10" s="422" t="s">
        <v>96</v>
      </c>
      <c r="G10" s="426"/>
      <c r="H10" s="423"/>
      <c r="I10" s="430"/>
      <c r="J10" s="431"/>
      <c r="K10" s="432"/>
      <c r="L10" s="510"/>
      <c r="M10" s="511" t="s">
        <v>123</v>
      </c>
      <c r="N10" s="512"/>
      <c r="O10" s="512"/>
      <c r="P10" s="513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42"/>
      <c r="AD10" s="462"/>
    </row>
    <row r="11" spans="1:30" s="68" customFormat="1" ht="20.25" customHeight="1" thickBot="1">
      <c r="A11" s="462"/>
      <c r="B11" s="422" t="s">
        <v>92</v>
      </c>
      <c r="C11" s="423"/>
      <c r="D11" s="424" t="s">
        <v>78</v>
      </c>
      <c r="E11" s="425"/>
      <c r="F11" s="422" t="s">
        <v>97</v>
      </c>
      <c r="G11" s="426"/>
      <c r="H11" s="423"/>
      <c r="I11" s="427"/>
      <c r="J11" s="428"/>
      <c r="K11" s="429"/>
      <c r="L11" s="510"/>
      <c r="M11" s="244" t="s">
        <v>28</v>
      </c>
      <c r="N11" s="245" t="s">
        <v>300</v>
      </c>
      <c r="O11" s="246" t="s">
        <v>301</v>
      </c>
      <c r="P11" s="247" t="s">
        <v>37</v>
      </c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42"/>
      <c r="AD11" s="462"/>
    </row>
    <row r="12" spans="1:30" s="68" customFormat="1" ht="20.25" customHeight="1">
      <c r="A12" s="462"/>
      <c r="B12" s="435" t="s">
        <v>93</v>
      </c>
      <c r="C12" s="436"/>
      <c r="D12" s="424"/>
      <c r="E12" s="425"/>
      <c r="F12" s="518" t="s">
        <v>98</v>
      </c>
      <c r="G12" s="519"/>
      <c r="H12" s="520"/>
      <c r="I12" s="430"/>
      <c r="J12" s="431"/>
      <c r="K12" s="432"/>
      <c r="L12" s="510"/>
      <c r="M12" s="251" t="s">
        <v>338</v>
      </c>
      <c r="N12" s="248">
        <v>10</v>
      </c>
      <c r="O12" s="248">
        <v>43</v>
      </c>
      <c r="P12" s="249">
        <f>N12+O12</f>
        <v>53</v>
      </c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42"/>
      <c r="AD12" s="462"/>
    </row>
    <row r="13" spans="1:30" s="68" customFormat="1" ht="26.25" customHeight="1" thickBot="1">
      <c r="A13" s="462"/>
      <c r="B13" s="439" t="s">
        <v>99</v>
      </c>
      <c r="C13" s="440"/>
      <c r="D13" s="433"/>
      <c r="E13" s="434"/>
      <c r="F13" s="500" t="s">
        <v>111</v>
      </c>
      <c r="G13" s="501"/>
      <c r="H13" s="501"/>
      <c r="I13" s="430"/>
      <c r="J13" s="431"/>
      <c r="K13" s="432"/>
      <c r="L13" s="510"/>
      <c r="M13" s="252" t="s">
        <v>339</v>
      </c>
      <c r="N13" s="242">
        <v>10</v>
      </c>
      <c r="O13" s="242">
        <v>43</v>
      </c>
      <c r="P13" s="250">
        <f t="shared" ref="P13:P16" si="0">N13+O13</f>
        <v>53</v>
      </c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42"/>
      <c r="AD13" s="462"/>
    </row>
    <row r="14" spans="1:30" ht="19.5" customHeight="1" thickBot="1">
      <c r="A14" s="462"/>
      <c r="B14" s="441"/>
      <c r="C14" s="441"/>
      <c r="D14" s="441"/>
      <c r="E14" s="441"/>
      <c r="F14" s="441"/>
      <c r="G14" s="441"/>
      <c r="H14" s="441"/>
      <c r="I14" s="441"/>
      <c r="J14" s="441"/>
      <c r="K14" s="441"/>
      <c r="L14" s="510"/>
      <c r="M14" s="252" t="s">
        <v>340</v>
      </c>
      <c r="N14" s="242">
        <v>10</v>
      </c>
      <c r="O14" s="242">
        <v>43</v>
      </c>
      <c r="P14" s="250">
        <f t="shared" si="0"/>
        <v>53</v>
      </c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42"/>
      <c r="AD14" s="462"/>
    </row>
    <row r="15" spans="1:30" ht="20.25" customHeight="1">
      <c r="A15" s="462"/>
      <c r="B15" s="418" t="s">
        <v>100</v>
      </c>
      <c r="C15" s="419"/>
      <c r="D15" s="420"/>
      <c r="E15" s="160">
        <v>5.45</v>
      </c>
      <c r="F15" s="444" t="s">
        <v>106</v>
      </c>
      <c r="G15" s="445"/>
      <c r="H15" s="445"/>
      <c r="I15" s="446"/>
      <c r="J15" s="450" t="s">
        <v>175</v>
      </c>
      <c r="K15" s="452">
        <v>1742</v>
      </c>
      <c r="L15" s="510"/>
      <c r="M15" s="252" t="s">
        <v>341</v>
      </c>
      <c r="N15" s="242">
        <v>10</v>
      </c>
      <c r="O15" s="242">
        <v>43</v>
      </c>
      <c r="P15" s="250">
        <f t="shared" si="0"/>
        <v>53</v>
      </c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42"/>
      <c r="AD15" s="462"/>
    </row>
    <row r="16" spans="1:30" ht="20.25" customHeight="1" thickBot="1">
      <c r="A16" s="462"/>
      <c r="B16" s="418" t="s">
        <v>101</v>
      </c>
      <c r="C16" s="419"/>
      <c r="D16" s="420"/>
      <c r="E16" s="160">
        <v>8.17</v>
      </c>
      <c r="F16" s="447"/>
      <c r="G16" s="448"/>
      <c r="H16" s="448"/>
      <c r="I16" s="449"/>
      <c r="J16" s="451"/>
      <c r="K16" s="453"/>
      <c r="L16" s="510"/>
      <c r="M16" s="253" t="s">
        <v>342</v>
      </c>
      <c r="N16" s="243">
        <v>10</v>
      </c>
      <c r="O16" s="243">
        <v>43</v>
      </c>
      <c r="P16" s="254">
        <f t="shared" si="0"/>
        <v>53</v>
      </c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42"/>
      <c r="AD16" s="462"/>
    </row>
    <row r="17" spans="1:30" ht="20.25" customHeight="1" thickBot="1">
      <c r="A17" s="462"/>
      <c r="B17" s="418" t="s">
        <v>102</v>
      </c>
      <c r="C17" s="419"/>
      <c r="D17" s="420"/>
      <c r="E17" s="82">
        <v>0.1</v>
      </c>
      <c r="F17" s="84" t="s">
        <v>107</v>
      </c>
      <c r="G17" s="442" t="s">
        <v>108</v>
      </c>
      <c r="H17" s="443"/>
      <c r="I17" s="157" t="s">
        <v>50</v>
      </c>
      <c r="J17" s="157" t="s">
        <v>109</v>
      </c>
      <c r="K17" s="85" t="s">
        <v>110</v>
      </c>
      <c r="L17" s="510"/>
      <c r="M17" s="255" t="s">
        <v>337</v>
      </c>
      <c r="N17" s="256">
        <f>SUM(N12:N16)</f>
        <v>50</v>
      </c>
      <c r="O17" s="256">
        <f t="shared" ref="O17:P17" si="1">SUM(O12:O16)</f>
        <v>215</v>
      </c>
      <c r="P17" s="257">
        <f t="shared" si="1"/>
        <v>265</v>
      </c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42"/>
      <c r="AD17" s="462"/>
    </row>
    <row r="18" spans="1:30" ht="20.25" customHeight="1">
      <c r="A18" s="462"/>
      <c r="B18" s="418" t="s">
        <v>103</v>
      </c>
      <c r="C18" s="419"/>
      <c r="D18" s="420"/>
      <c r="E18" s="82">
        <v>0.15</v>
      </c>
      <c r="F18" s="352">
        <v>1</v>
      </c>
      <c r="G18" s="437" t="s">
        <v>290</v>
      </c>
      <c r="H18" s="438"/>
      <c r="I18" s="40" t="s">
        <v>293</v>
      </c>
      <c r="J18" s="40" t="s">
        <v>294</v>
      </c>
      <c r="K18" s="41"/>
      <c r="L18" s="510"/>
      <c r="M18" s="490" t="s">
        <v>123</v>
      </c>
      <c r="N18" s="491"/>
      <c r="O18" s="491"/>
      <c r="P18" s="492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42"/>
      <c r="AD18" s="462"/>
    </row>
    <row r="19" spans="1:30" ht="20.25" customHeight="1" thickBot="1">
      <c r="A19" s="462"/>
      <c r="B19" s="418" t="s">
        <v>104</v>
      </c>
      <c r="C19" s="419"/>
      <c r="D19" s="420"/>
      <c r="E19" s="82">
        <v>1.4999999999999999E-2</v>
      </c>
      <c r="F19" s="353">
        <f>IF(G19=0,0,F18+1)</f>
        <v>2</v>
      </c>
      <c r="G19" s="514" t="s">
        <v>291</v>
      </c>
      <c r="H19" s="515"/>
      <c r="I19" s="14" t="s">
        <v>293</v>
      </c>
      <c r="J19" s="14" t="s">
        <v>294</v>
      </c>
      <c r="K19" s="15"/>
      <c r="L19" s="510"/>
      <c r="M19" s="244" t="s">
        <v>28</v>
      </c>
      <c r="N19" s="245" t="s">
        <v>300</v>
      </c>
      <c r="O19" s="246" t="s">
        <v>301</v>
      </c>
      <c r="P19" s="247" t="s">
        <v>37</v>
      </c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42"/>
      <c r="AD19" s="462"/>
    </row>
    <row r="20" spans="1:30" s="42" customFormat="1" ht="20.25" customHeight="1">
      <c r="A20" s="462"/>
      <c r="B20" s="418" t="s">
        <v>105</v>
      </c>
      <c r="C20" s="419"/>
      <c r="D20" s="420"/>
      <c r="E20" s="82">
        <v>0.02</v>
      </c>
      <c r="F20" s="353">
        <f>IF(G20=0,0,F19+1)</f>
        <v>3</v>
      </c>
      <c r="G20" s="514" t="s">
        <v>292</v>
      </c>
      <c r="H20" s="515"/>
      <c r="I20" s="14" t="s">
        <v>293</v>
      </c>
      <c r="J20" s="14" t="s">
        <v>294</v>
      </c>
      <c r="K20" s="15">
        <v>0</v>
      </c>
      <c r="L20" s="510"/>
      <c r="M20" s="251" t="s">
        <v>343</v>
      </c>
      <c r="N20" s="248">
        <v>10</v>
      </c>
      <c r="O20" s="248">
        <v>43</v>
      </c>
      <c r="P20" s="249">
        <f>N20+O20</f>
        <v>53</v>
      </c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</row>
    <row r="21" spans="1:30" s="42" customFormat="1" ht="20.25" customHeight="1">
      <c r="A21" s="462"/>
      <c r="B21" s="418" t="s">
        <v>205</v>
      </c>
      <c r="C21" s="419"/>
      <c r="D21" s="420"/>
      <c r="E21" s="83">
        <v>0.378</v>
      </c>
      <c r="F21" s="353">
        <f t="shared" ref="F21:F23" si="2">IF(G21=0,0,F20+1)</f>
        <v>0</v>
      </c>
      <c r="G21" s="36"/>
      <c r="H21" s="37"/>
      <c r="I21" s="38"/>
      <c r="J21" s="38"/>
      <c r="K21" s="39"/>
      <c r="L21" s="510"/>
      <c r="M21" s="252" t="s">
        <v>344</v>
      </c>
      <c r="N21" s="242">
        <v>10</v>
      </c>
      <c r="O21" s="242">
        <v>43</v>
      </c>
      <c r="P21" s="250">
        <f>N21+O21</f>
        <v>53</v>
      </c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</row>
    <row r="22" spans="1:30" s="42" customFormat="1" ht="20.25" customHeight="1" thickBot="1">
      <c r="A22" s="462"/>
      <c r="B22" s="418" t="s">
        <v>206</v>
      </c>
      <c r="C22" s="419"/>
      <c r="D22" s="420"/>
      <c r="E22" s="83">
        <v>0.45900000000000002</v>
      </c>
      <c r="F22" s="353">
        <f t="shared" si="2"/>
        <v>0</v>
      </c>
      <c r="G22" s="36"/>
      <c r="H22" s="37"/>
      <c r="I22" s="38"/>
      <c r="J22" s="38"/>
      <c r="K22" s="39"/>
      <c r="L22" s="510"/>
      <c r="M22" s="253" t="s">
        <v>345</v>
      </c>
      <c r="N22" s="243">
        <v>10</v>
      </c>
      <c r="O22" s="243">
        <v>43</v>
      </c>
      <c r="P22" s="254">
        <f>N22+O22</f>
        <v>53</v>
      </c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</row>
    <row r="23" spans="1:30" s="42" customFormat="1" ht="36" customHeight="1" thickBot="1">
      <c r="A23" s="462"/>
      <c r="B23" s="356" t="s">
        <v>315</v>
      </c>
      <c r="C23" s="382">
        <v>8.4</v>
      </c>
      <c r="D23" s="355" t="s">
        <v>315</v>
      </c>
      <c r="E23" s="382">
        <v>10.199999999999999</v>
      </c>
      <c r="F23" s="354">
        <f t="shared" si="2"/>
        <v>0</v>
      </c>
      <c r="G23" s="516">
        <v>0</v>
      </c>
      <c r="H23" s="517"/>
      <c r="I23" s="16"/>
      <c r="J23" s="16"/>
      <c r="K23" s="17">
        <v>0</v>
      </c>
      <c r="L23" s="510"/>
      <c r="M23" s="255" t="s">
        <v>337</v>
      </c>
      <c r="N23" s="256">
        <f>SUM(N20:N22)</f>
        <v>30</v>
      </c>
      <c r="O23" s="256">
        <f t="shared" ref="O23:P23" si="3">SUM(O20:O22)</f>
        <v>129</v>
      </c>
      <c r="P23" s="257">
        <f t="shared" si="3"/>
        <v>159</v>
      </c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</row>
    <row r="24" spans="1:30">
      <c r="L24" s="79"/>
      <c r="M24" s="162"/>
      <c r="N24" s="162"/>
      <c r="O24" s="162"/>
      <c r="P24" s="162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1:30"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1:30"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</row>
    <row r="27" spans="1:30"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1:30"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spans="1:30"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1:30"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1:30"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1:30"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3:28"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</row>
    <row r="34" spans="13:28"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</row>
    <row r="35" spans="13:28">
      <c r="M35" s="67"/>
      <c r="N35" s="67"/>
      <c r="AB35" s="66"/>
    </row>
    <row r="36" spans="13:28">
      <c r="M36" s="67"/>
      <c r="N36" s="67"/>
      <c r="AB36" s="66"/>
    </row>
    <row r="37" spans="13:28">
      <c r="M37" s="67"/>
      <c r="N37" s="67"/>
      <c r="AB37" s="66"/>
    </row>
    <row r="38" spans="13:28">
      <c r="M38" s="67"/>
      <c r="N38" s="67"/>
      <c r="AB38" s="66"/>
    </row>
    <row r="39" spans="13:28">
      <c r="AB39" s="66"/>
    </row>
    <row r="40" spans="13:28">
      <c r="AB40" s="66"/>
    </row>
    <row r="41" spans="13:28">
      <c r="AB41" s="66"/>
    </row>
    <row r="42" spans="13:28">
      <c r="AB42" s="66"/>
    </row>
    <row r="43" spans="13:28">
      <c r="AB43" s="66"/>
    </row>
    <row r="44" spans="13:28">
      <c r="AB44" s="66"/>
    </row>
    <row r="45" spans="13:28">
      <c r="AB45" s="66"/>
    </row>
    <row r="46" spans="13:28">
      <c r="AB46" s="66"/>
    </row>
    <row r="47" spans="13:28">
      <c r="AB47" s="66"/>
    </row>
    <row r="48" spans="13:28">
      <c r="AB48" s="66"/>
    </row>
    <row r="49" spans="28:28">
      <c r="AB49" s="66"/>
    </row>
    <row r="50" spans="28:28">
      <c r="AB50" s="66"/>
    </row>
    <row r="51" spans="28:28">
      <c r="AB51" s="66"/>
    </row>
    <row r="52" spans="28:28">
      <c r="AB52" s="66"/>
    </row>
    <row r="53" spans="28:28">
      <c r="AB53" s="66"/>
    </row>
    <row r="54" spans="28:28">
      <c r="AB54" s="66"/>
    </row>
  </sheetData>
  <sheetProtection password="E8FA" sheet="1" objects="1" scenarios="1" formatCells="0" formatColumns="0" formatRows="0" selectLockedCells="1"/>
  <mergeCells count="68">
    <mergeCell ref="M18:P18"/>
    <mergeCell ref="M7:P7"/>
    <mergeCell ref="F6:H6"/>
    <mergeCell ref="I6:J6"/>
    <mergeCell ref="F7:H7"/>
    <mergeCell ref="F13:H13"/>
    <mergeCell ref="I13:K13"/>
    <mergeCell ref="I7:K7"/>
    <mergeCell ref="M8:P9"/>
    <mergeCell ref="L6:L23"/>
    <mergeCell ref="M10:P10"/>
    <mergeCell ref="G19:H19"/>
    <mergeCell ref="G20:H20"/>
    <mergeCell ref="G23:H23"/>
    <mergeCell ref="F12:H12"/>
    <mergeCell ref="B2:P2"/>
    <mergeCell ref="B3:P3"/>
    <mergeCell ref="D4:P4"/>
    <mergeCell ref="A2:A23"/>
    <mergeCell ref="A1:AC1"/>
    <mergeCell ref="B5:K5"/>
    <mergeCell ref="B9:C9"/>
    <mergeCell ref="D9:E9"/>
    <mergeCell ref="F9:H9"/>
    <mergeCell ref="I9:K9"/>
    <mergeCell ref="B10:C10"/>
    <mergeCell ref="D10:E10"/>
    <mergeCell ref="D8:E8"/>
    <mergeCell ref="F8:H8"/>
    <mergeCell ref="I8:K8"/>
    <mergeCell ref="B7:C7"/>
    <mergeCell ref="AD1:AD19"/>
    <mergeCell ref="Q6:S6"/>
    <mergeCell ref="T6:U6"/>
    <mergeCell ref="Q7:S8"/>
    <mergeCell ref="T7:U8"/>
    <mergeCell ref="W7:W8"/>
    <mergeCell ref="D7:E7"/>
    <mergeCell ref="B4:C4"/>
    <mergeCell ref="B6:C6"/>
    <mergeCell ref="D6:E6"/>
    <mergeCell ref="B8:C8"/>
    <mergeCell ref="B12:C12"/>
    <mergeCell ref="I12:K12"/>
    <mergeCell ref="G18:H18"/>
    <mergeCell ref="B13:C13"/>
    <mergeCell ref="B15:D15"/>
    <mergeCell ref="B14:K14"/>
    <mergeCell ref="G17:H17"/>
    <mergeCell ref="F15:I16"/>
    <mergeCell ref="J15:J16"/>
    <mergeCell ref="K15:K16"/>
    <mergeCell ref="B20:D20"/>
    <mergeCell ref="B19:D19"/>
    <mergeCell ref="B21:D21"/>
    <mergeCell ref="B22:D22"/>
    <mergeCell ref="M6:P6"/>
    <mergeCell ref="B11:C11"/>
    <mergeCell ref="D11:E11"/>
    <mergeCell ref="F10:H10"/>
    <mergeCell ref="F11:H11"/>
    <mergeCell ref="I11:K11"/>
    <mergeCell ref="I10:K10"/>
    <mergeCell ref="D12:E12"/>
    <mergeCell ref="D13:E13"/>
    <mergeCell ref="B18:D18"/>
    <mergeCell ref="B17:D17"/>
    <mergeCell ref="B16:D16"/>
  </mergeCells>
  <conditionalFormatting sqref="I8:I13 E5:J5 M11 AE2:XFD1048576 M45:Y1048576 L24:L1048576 Z24:AD1048576 B24:E1048576 H17 H24:H1048576 H21:H22 F17:G1048576 M24:Y38 I17:K1048576 G14:I14 Q9:AB19 Q2:AD2 E13 D4:D13 J14:K15 B2:B13 E7 C5 M5:P5 B14:E22 N11:O16 F6:F15 N19:O22 K5:K6 P11">
    <cfRule type="cellIs" dxfId="31" priority="20" operator="equal">
      <formula>0</formula>
    </cfRule>
  </conditionalFormatting>
  <conditionalFormatting sqref="M18:P18">
    <cfRule type="cellIs" dxfId="30" priority="4" operator="equal">
      <formula>0</formula>
    </cfRule>
  </conditionalFormatting>
  <conditionalFormatting sqref="N18">
    <cfRule type="cellIs" dxfId="29" priority="3" operator="equal">
      <formula>0</formula>
    </cfRule>
  </conditionalFormatting>
  <conditionalFormatting sqref="M19:P19">
    <cfRule type="cellIs" dxfId="28" priority="2" operator="equal">
      <formula>0</formula>
    </cfRule>
  </conditionalFormatting>
  <conditionalFormatting sqref="N19">
    <cfRule type="cellIs" dxfId="27" priority="1" operator="equal">
      <formula>0</formula>
    </cfRule>
  </conditionalFormatting>
  <dataValidations count="5">
    <dataValidation type="list" allowBlank="1" showInputMessage="1" showErrorMessage="1" sqref="I6">
      <formula1>$Q$3:$AB$3</formula1>
    </dataValidation>
    <dataValidation type="list" allowBlank="1" showInputMessage="1" showErrorMessage="1" sqref="I7">
      <formula1>"Sr.Sec.(I to XII),Sec.(I to X),Up.Pri.(I to VIII),Pri.(I to V)"</formula1>
    </dataValidation>
    <dataValidation type="list" allowBlank="1" showInputMessage="1" showErrorMessage="1" sqref="I18:I23">
      <formula1>"Female,Male"</formula1>
    </dataValidation>
    <dataValidation type="list" allowBlank="1" showInputMessage="1" showErrorMessage="1" sqref="J18:J23">
      <formula1>"GEN,OBC,SC,ST,SBC"</formula1>
    </dataValidation>
    <dataValidation type="list" allowBlank="1" showInputMessage="1" showErrorMessage="1" sqref="K6">
      <formula1>$Q$4:$AB$4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SQ344"/>
  <sheetViews>
    <sheetView showGridLines="0" topLeftCell="C1" zoomScale="85" zoomScaleNormal="85" workbookViewId="0">
      <selection activeCell="AD15" sqref="AD15"/>
    </sheetView>
  </sheetViews>
  <sheetFormatPr defaultColWidth="0" defaultRowHeight="15.75" zeroHeight="1"/>
  <cols>
    <col min="1" max="1" width="1.28515625" style="18" customWidth="1"/>
    <col min="2" max="2" width="9.7109375" style="18" customWidth="1"/>
    <col min="3" max="3" width="10.42578125" style="18" customWidth="1"/>
    <col min="4" max="4" width="11.5703125" style="18" customWidth="1"/>
    <col min="5" max="5" width="10.42578125" style="18" customWidth="1"/>
    <col min="6" max="6" width="9.5703125" style="18" customWidth="1"/>
    <col min="7" max="7" width="9.85546875" style="18" customWidth="1"/>
    <col min="8" max="8" width="9.5703125" style="18" customWidth="1"/>
    <col min="9" max="9" width="8.85546875" style="18" hidden="1" customWidth="1"/>
    <col min="10" max="10" width="12" style="18" customWidth="1"/>
    <col min="11" max="11" width="4.42578125" style="18" customWidth="1"/>
    <col min="12" max="14" width="10.85546875" style="18" customWidth="1"/>
    <col min="15" max="15" width="13.28515625" style="18" hidden="1" customWidth="1"/>
    <col min="16" max="16" width="11.42578125" style="18" customWidth="1"/>
    <col min="17" max="17" width="4.42578125" style="18" hidden="1" customWidth="1"/>
    <col min="18" max="23" width="6.140625" style="18" hidden="1" customWidth="1"/>
    <col min="24" max="29" width="6.140625" style="18" customWidth="1"/>
    <col min="30" max="37" width="11.5703125" style="168" customWidth="1"/>
    <col min="38" max="41" width="7.7109375" style="18" customWidth="1"/>
    <col min="42" max="42" width="6.28515625" style="18" customWidth="1"/>
    <col min="43" max="47" width="12.7109375" style="18" hidden="1" customWidth="1"/>
    <col min="48" max="48" width="2.85546875" style="18" hidden="1" customWidth="1"/>
    <col min="49" max="511" width="12.7109375" style="18" hidden="1" customWidth="1"/>
    <col min="512" max="16384" width="4.7109375" style="18" hidden="1"/>
  </cols>
  <sheetData>
    <row r="1" spans="1:52" ht="6" customHeight="1" thickBot="1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</row>
    <row r="2" spans="1:52" ht="38.25" customHeight="1" thickBot="1">
      <c r="A2" s="462"/>
      <c r="B2" s="521" t="str">
        <f>CONCATENATE('School Info'!B4,'School Info'!D4)</f>
        <v>dk;kZy;%jktdh; mPp ek/;fed fo|ky; jk;eyok³k ¼ckfi.kh½] tks/kiqj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3"/>
      <c r="AP2" s="550"/>
    </row>
    <row r="3" spans="1:52" ht="31.5" customHeight="1" thickBot="1">
      <c r="A3" s="462"/>
      <c r="B3" s="552" t="s">
        <v>304</v>
      </c>
      <c r="C3" s="553"/>
      <c r="D3" s="553"/>
      <c r="E3" s="553"/>
      <c r="F3" s="553"/>
      <c r="G3" s="553"/>
      <c r="H3" s="553"/>
      <c r="I3" s="553"/>
      <c r="J3" s="554"/>
      <c r="K3" s="533" t="s">
        <v>122</v>
      </c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  <c r="X3" s="534"/>
      <c r="Y3" s="534"/>
      <c r="Z3" s="534"/>
      <c r="AA3" s="534"/>
      <c r="AB3" s="534"/>
      <c r="AC3" s="534"/>
      <c r="AD3" s="604"/>
      <c r="AE3" s="604"/>
      <c r="AF3" s="604"/>
      <c r="AG3" s="604"/>
      <c r="AH3" s="604"/>
      <c r="AI3" s="604"/>
      <c r="AJ3" s="604"/>
      <c r="AK3" s="604"/>
      <c r="AL3" s="604"/>
      <c r="AM3" s="602" t="str">
        <f>CONCATENATE('School Info'!I6,-'School Info'!K6)</f>
        <v>December-2022</v>
      </c>
      <c r="AN3" s="602"/>
      <c r="AO3" s="603"/>
      <c r="AP3" s="550"/>
      <c r="AQ3" s="260" t="s">
        <v>173</v>
      </c>
      <c r="AV3" s="260"/>
    </row>
    <row r="4" spans="1:52" s="71" customFormat="1" ht="25.5" customHeight="1">
      <c r="A4" s="462"/>
      <c r="B4" s="547" t="s">
        <v>28</v>
      </c>
      <c r="C4" s="544" t="s">
        <v>113</v>
      </c>
      <c r="D4" s="113">
        <v>44652</v>
      </c>
      <c r="E4" s="107">
        <f>D4</f>
        <v>44652</v>
      </c>
      <c r="F4" s="555" t="s">
        <v>310</v>
      </c>
      <c r="G4" s="555" t="s">
        <v>297</v>
      </c>
      <c r="H4" s="555" t="s">
        <v>196</v>
      </c>
      <c r="I4" s="25" t="s">
        <v>192</v>
      </c>
      <c r="J4" s="114">
        <v>44652</v>
      </c>
      <c r="K4" s="626" t="s">
        <v>107</v>
      </c>
      <c r="L4" s="629" t="s">
        <v>81</v>
      </c>
      <c r="M4" s="632" t="s">
        <v>127</v>
      </c>
      <c r="N4" s="635" t="s">
        <v>247</v>
      </c>
      <c r="O4" s="638" t="s">
        <v>174</v>
      </c>
      <c r="P4" s="641" t="s">
        <v>246</v>
      </c>
      <c r="Q4" s="644" t="s">
        <v>113</v>
      </c>
      <c r="R4" s="605" t="s">
        <v>299</v>
      </c>
      <c r="S4" s="606"/>
      <c r="T4" s="606"/>
      <c r="U4" s="606"/>
      <c r="V4" s="606"/>
      <c r="W4" s="607"/>
      <c r="X4" s="605" t="s">
        <v>124</v>
      </c>
      <c r="Y4" s="606"/>
      <c r="Z4" s="606"/>
      <c r="AA4" s="606"/>
      <c r="AB4" s="606"/>
      <c r="AC4" s="607"/>
      <c r="AD4" s="568" t="s">
        <v>288</v>
      </c>
      <c r="AE4" s="569"/>
      <c r="AF4" s="568" t="s">
        <v>289</v>
      </c>
      <c r="AG4" s="569"/>
      <c r="AH4" s="568" t="s">
        <v>323</v>
      </c>
      <c r="AI4" s="569"/>
      <c r="AJ4" s="568" t="s">
        <v>324</v>
      </c>
      <c r="AK4" s="569"/>
      <c r="AL4" s="622" t="s">
        <v>309</v>
      </c>
      <c r="AM4" s="622"/>
      <c r="AN4" s="622"/>
      <c r="AO4" s="623"/>
      <c r="AP4" s="550"/>
      <c r="AQ4" s="260" t="s">
        <v>143</v>
      </c>
      <c r="AR4" s="551" t="s">
        <v>199</v>
      </c>
      <c r="AS4" s="551"/>
      <c r="AT4" s="551" t="s">
        <v>200</v>
      </c>
      <c r="AU4" s="551"/>
      <c r="AV4" s="260"/>
      <c r="AW4" s="551" t="s">
        <v>199</v>
      </c>
      <c r="AX4" s="551"/>
      <c r="AY4" s="551" t="s">
        <v>200</v>
      </c>
      <c r="AZ4" s="551"/>
    </row>
    <row r="5" spans="1:52" s="71" customFormat="1" ht="18" customHeight="1" thickBot="1">
      <c r="A5" s="462"/>
      <c r="B5" s="548"/>
      <c r="C5" s="545"/>
      <c r="D5" s="558" t="s">
        <v>195</v>
      </c>
      <c r="E5" s="524" t="s">
        <v>296</v>
      </c>
      <c r="F5" s="556"/>
      <c r="G5" s="556"/>
      <c r="H5" s="556"/>
      <c r="I5" s="26"/>
      <c r="J5" s="560" t="s">
        <v>197</v>
      </c>
      <c r="K5" s="627"/>
      <c r="L5" s="630"/>
      <c r="M5" s="633"/>
      <c r="N5" s="636"/>
      <c r="O5" s="639"/>
      <c r="P5" s="642"/>
      <c r="Q5" s="645"/>
      <c r="R5" s="589" t="s">
        <v>123</v>
      </c>
      <c r="S5" s="590"/>
      <c r="T5" s="590"/>
      <c r="U5" s="591" t="s">
        <v>68</v>
      </c>
      <c r="V5" s="592"/>
      <c r="W5" s="593"/>
      <c r="X5" s="589" t="s">
        <v>123</v>
      </c>
      <c r="Y5" s="590"/>
      <c r="Z5" s="590"/>
      <c r="AA5" s="591" t="s">
        <v>68</v>
      </c>
      <c r="AB5" s="592"/>
      <c r="AC5" s="593"/>
      <c r="AD5" s="570"/>
      <c r="AE5" s="571"/>
      <c r="AF5" s="570"/>
      <c r="AG5" s="571"/>
      <c r="AH5" s="570"/>
      <c r="AI5" s="571"/>
      <c r="AJ5" s="570"/>
      <c r="AK5" s="571"/>
      <c r="AL5" s="624"/>
      <c r="AM5" s="624"/>
      <c r="AN5" s="624"/>
      <c r="AO5" s="625"/>
      <c r="AP5" s="550"/>
      <c r="AQ5" s="260" t="s">
        <v>144</v>
      </c>
      <c r="AR5" s="71" t="s">
        <v>190</v>
      </c>
      <c r="AS5" s="71" t="s">
        <v>191</v>
      </c>
      <c r="AT5" s="71" t="s">
        <v>190</v>
      </c>
      <c r="AU5" s="71" t="s">
        <v>191</v>
      </c>
      <c r="AV5" s="260"/>
      <c r="AW5" s="71" t="s">
        <v>190</v>
      </c>
      <c r="AX5" s="71" t="s">
        <v>191</v>
      </c>
      <c r="AY5" s="71" t="s">
        <v>190</v>
      </c>
      <c r="AZ5" s="71" t="s">
        <v>191</v>
      </c>
    </row>
    <row r="6" spans="1:52" s="71" customFormat="1" ht="21" customHeight="1" thickBot="1">
      <c r="A6" s="462"/>
      <c r="B6" s="548"/>
      <c r="C6" s="545"/>
      <c r="D6" s="558"/>
      <c r="E6" s="524"/>
      <c r="F6" s="556"/>
      <c r="G6" s="556"/>
      <c r="H6" s="556"/>
      <c r="I6" s="26"/>
      <c r="J6" s="560"/>
      <c r="K6" s="628"/>
      <c r="L6" s="631"/>
      <c r="M6" s="634"/>
      <c r="N6" s="637"/>
      <c r="O6" s="640"/>
      <c r="P6" s="643"/>
      <c r="Q6" s="646"/>
      <c r="R6" s="202" t="s">
        <v>300</v>
      </c>
      <c r="S6" s="166" t="s">
        <v>301</v>
      </c>
      <c r="T6" s="166" t="s">
        <v>37</v>
      </c>
      <c r="U6" s="166" t="s">
        <v>300</v>
      </c>
      <c r="V6" s="166" t="s">
        <v>301</v>
      </c>
      <c r="W6" s="167" t="s">
        <v>37</v>
      </c>
      <c r="X6" s="202" t="s">
        <v>300</v>
      </c>
      <c r="Y6" s="166" t="s">
        <v>301</v>
      </c>
      <c r="Z6" s="166" t="s">
        <v>37</v>
      </c>
      <c r="AA6" s="166" t="s">
        <v>300</v>
      </c>
      <c r="AB6" s="166" t="s">
        <v>301</v>
      </c>
      <c r="AC6" s="167" t="s">
        <v>37</v>
      </c>
      <c r="AD6" s="203" t="s">
        <v>33</v>
      </c>
      <c r="AE6" s="170" t="s">
        <v>36</v>
      </c>
      <c r="AF6" s="203" t="s">
        <v>33</v>
      </c>
      <c r="AG6" s="170" t="s">
        <v>36</v>
      </c>
      <c r="AH6" s="203" t="s">
        <v>33</v>
      </c>
      <c r="AI6" s="170" t="s">
        <v>36</v>
      </c>
      <c r="AJ6" s="203" t="s">
        <v>33</v>
      </c>
      <c r="AK6" s="170" t="s">
        <v>36</v>
      </c>
      <c r="AL6" s="214" t="s">
        <v>28</v>
      </c>
      <c r="AM6" s="215" t="s">
        <v>190</v>
      </c>
      <c r="AN6" s="215" t="s">
        <v>191</v>
      </c>
      <c r="AO6" s="216" t="s">
        <v>125</v>
      </c>
      <c r="AP6" s="550"/>
      <c r="AQ6" s="260"/>
      <c r="AV6" s="260"/>
    </row>
    <row r="7" spans="1:52" s="71" customFormat="1" ht="23.25" customHeight="1">
      <c r="A7" s="462"/>
      <c r="B7" s="548"/>
      <c r="C7" s="545"/>
      <c r="D7" s="558"/>
      <c r="E7" s="524"/>
      <c r="F7" s="556"/>
      <c r="G7" s="556"/>
      <c r="H7" s="556"/>
      <c r="I7" s="26"/>
      <c r="J7" s="560"/>
      <c r="K7" s="80">
        <f>IF('School Info'!$W$7&gt;0,1,"--")</f>
        <v>1</v>
      </c>
      <c r="L7" s="21">
        <f>'School Info'!T6</f>
        <v>44896</v>
      </c>
      <c r="M7" s="20" t="str">
        <f>TEXT(L7,"dddd")</f>
        <v>Thursday</v>
      </c>
      <c r="N7" s="150" t="s">
        <v>173</v>
      </c>
      <c r="O7" s="151" t="str">
        <f>IF(N7="खुला",M7,IF(N7="---","---","Holiday"))</f>
        <v>Thursday</v>
      </c>
      <c r="P7" s="165" t="str">
        <f t="shared" ref="P7:P37" si="0">VLOOKUP($O7,$B$20:$J$27,4,0)</f>
        <v>खिचडी</v>
      </c>
      <c r="Q7" s="324" t="str">
        <f>IF(P7="रोटी - सब्जी","W",IF(P7="चावल एवं दाल/सब्जी","R",IF(P7="रोटी - दाल","W",IF(P7="खिचडी","R","---"))))</f>
        <v>R</v>
      </c>
      <c r="R7" s="325">
        <f>'School Info'!$N$17</f>
        <v>50</v>
      </c>
      <c r="S7" s="326">
        <f>'School Info'!$O$17</f>
        <v>215</v>
      </c>
      <c r="T7" s="326">
        <f>SUM(R7:S7)</f>
        <v>265</v>
      </c>
      <c r="U7" s="326">
        <f>'School Info'!$N$23</f>
        <v>30</v>
      </c>
      <c r="V7" s="326">
        <f>'School Info'!$O$16</f>
        <v>43</v>
      </c>
      <c r="W7" s="327">
        <f>SUM(U7:V7)</f>
        <v>73</v>
      </c>
      <c r="X7" s="340">
        <f>IF(U7="खुला",'School Info'!$D$13,0)</f>
        <v>0</v>
      </c>
      <c r="Y7" s="341"/>
      <c r="Z7" s="328">
        <f>SUM(X7:Y7)</f>
        <v>0</v>
      </c>
      <c r="AA7" s="341"/>
      <c r="AB7" s="341"/>
      <c r="AC7" s="329">
        <f>SUM(AA7:AB7)</f>
        <v>0</v>
      </c>
      <c r="AD7" s="346">
        <v>0</v>
      </c>
      <c r="AE7" s="347">
        <v>0</v>
      </c>
      <c r="AF7" s="346"/>
      <c r="AG7" s="347"/>
      <c r="AH7" s="346">
        <v>0</v>
      </c>
      <c r="AI7" s="347">
        <v>0</v>
      </c>
      <c r="AJ7" s="346"/>
      <c r="AK7" s="347"/>
      <c r="AL7" s="583" t="s">
        <v>16</v>
      </c>
      <c r="AM7" s="585">
        <f>AR38</f>
        <v>0</v>
      </c>
      <c r="AN7" s="585">
        <f>AS38</f>
        <v>0</v>
      </c>
      <c r="AO7" s="587">
        <f>AM7+AN7</f>
        <v>0</v>
      </c>
      <c r="AP7" s="550"/>
      <c r="AQ7" s="260" t="s">
        <v>145</v>
      </c>
      <c r="AR7" s="72">
        <f>IF($Q7="W",Z7,0)</f>
        <v>0</v>
      </c>
      <c r="AS7" s="72">
        <f>IF($Q7="R",Z7,0)</f>
        <v>0</v>
      </c>
      <c r="AT7" s="72">
        <f>IF($Q7="W",AC7,0)</f>
        <v>0</v>
      </c>
      <c r="AU7" s="72">
        <f>IF($Q7="R",AC7,0)</f>
        <v>0</v>
      </c>
      <c r="AV7" s="260"/>
      <c r="AW7" s="73">
        <f>AR7*'School Info'!$E$17</f>
        <v>0</v>
      </c>
      <c r="AX7" s="73">
        <f>AS7*'School Info'!$E$17</f>
        <v>0</v>
      </c>
      <c r="AY7" s="73">
        <f>AT7*'School Info'!$E$18</f>
        <v>0</v>
      </c>
      <c r="AZ7" s="73">
        <f>AU7*'School Info'!$E$18</f>
        <v>0</v>
      </c>
    </row>
    <row r="8" spans="1:52" s="71" customFormat="1" ht="23.25" customHeight="1">
      <c r="A8" s="462"/>
      <c r="B8" s="549"/>
      <c r="C8" s="546"/>
      <c r="D8" s="559"/>
      <c r="E8" s="525"/>
      <c r="F8" s="557"/>
      <c r="G8" s="557"/>
      <c r="H8" s="557"/>
      <c r="I8" s="26"/>
      <c r="J8" s="561"/>
      <c r="K8" s="81">
        <f>IF('School Info'!$W$7&gt;0,K7+1,"--")</f>
        <v>2</v>
      </c>
      <c r="L8" s="23">
        <f>L7+1</f>
        <v>44897</v>
      </c>
      <c r="M8" s="22" t="str">
        <f t="shared" ref="M8:M37" si="1">TEXT(L8,"dddd")</f>
        <v>Friday</v>
      </c>
      <c r="N8" s="152" t="str">
        <f t="shared" ref="N8:N37" si="2">IF(M8="Sunday","रवि॰अव॰",IF(M8="---","---","खुला"))</f>
        <v>खुला</v>
      </c>
      <c r="O8" s="151" t="str">
        <f t="shared" ref="O8:O37" si="3">IF(N8="खुला",M8,IF(N8="---","---","Holiday"))</f>
        <v>Friday</v>
      </c>
      <c r="P8" s="165" t="str">
        <f t="shared" si="0"/>
        <v>रोटी - दाल</v>
      </c>
      <c r="Q8" s="324" t="str">
        <f t="shared" ref="Q8:Q37" si="4">IF(P8="रोटी - सब्जी","W",IF(P8="चावल एवं दाल/सब्जी","R",IF(P8="रोटी - दाल","W",IF(P8="खिचडी","R","---"))))</f>
        <v>W</v>
      </c>
      <c r="R8" s="330">
        <f>IF('School Info'!$W$7&gt;=K8,R7,"---")</f>
        <v>50</v>
      </c>
      <c r="S8" s="331">
        <f>IF('School Info'!$W$7&gt;=K8,S7,"---")</f>
        <v>215</v>
      </c>
      <c r="T8" s="331">
        <f t="shared" ref="T8:T37" si="5">SUM(R8:S8)</f>
        <v>265</v>
      </c>
      <c r="U8" s="331">
        <f>IF('School Info'!$W$7&gt;=K8,U7,"---")</f>
        <v>30</v>
      </c>
      <c r="V8" s="331">
        <f>IF('School Info'!$W$7&gt;=K8,V7,"---")</f>
        <v>43</v>
      </c>
      <c r="W8" s="327">
        <f t="shared" ref="W8:W37" si="6">SUM(U8:V8)</f>
        <v>73</v>
      </c>
      <c r="X8" s="342">
        <f>IF(U8="खुला",'School Info'!$D$13,0)</f>
        <v>0</v>
      </c>
      <c r="Y8" s="343"/>
      <c r="Z8" s="328">
        <f t="shared" ref="Z8:Z37" si="7">SUM(X8:Y8)</f>
        <v>0</v>
      </c>
      <c r="AA8" s="343"/>
      <c r="AB8" s="343"/>
      <c r="AC8" s="329">
        <f t="shared" ref="AC8:AC37" si="8">SUM(AA8:AB8)</f>
        <v>0</v>
      </c>
      <c r="AD8" s="348"/>
      <c r="AE8" s="349">
        <v>0</v>
      </c>
      <c r="AF8" s="348"/>
      <c r="AG8" s="349">
        <v>0</v>
      </c>
      <c r="AH8" s="348"/>
      <c r="AI8" s="349">
        <v>0</v>
      </c>
      <c r="AJ8" s="348"/>
      <c r="AK8" s="349">
        <v>0</v>
      </c>
      <c r="AL8" s="584"/>
      <c r="AM8" s="586"/>
      <c r="AN8" s="586"/>
      <c r="AO8" s="588"/>
      <c r="AP8" s="550"/>
      <c r="AQ8" s="260" t="s">
        <v>146</v>
      </c>
      <c r="AR8" s="72">
        <f t="shared" ref="AR8:AR37" si="9">IF($Q8="W",Z8,0)</f>
        <v>0</v>
      </c>
      <c r="AS8" s="72">
        <f t="shared" ref="AS8:AS37" si="10">IF($Q8="R",Z8,0)</f>
        <v>0</v>
      </c>
      <c r="AT8" s="72">
        <f t="shared" ref="AT8:AT37" si="11">IF($Q8="W",AC8,0)</f>
        <v>0</v>
      </c>
      <c r="AU8" s="72">
        <f t="shared" ref="AU8:AU37" si="12">IF($Q8="R",AC8,0)</f>
        <v>0</v>
      </c>
      <c r="AV8" s="260"/>
      <c r="AW8" s="73">
        <f>AR8*'School Info'!$E$17</f>
        <v>0</v>
      </c>
      <c r="AX8" s="73">
        <f>AS8*'School Info'!$E$17</f>
        <v>0</v>
      </c>
      <c r="AY8" s="73">
        <f>AT8*'School Info'!$E$18</f>
        <v>0</v>
      </c>
      <c r="AZ8" s="73">
        <f>AU8*'School Info'!$E$18</f>
        <v>0</v>
      </c>
    </row>
    <row r="9" spans="1:52" ht="23.25" customHeight="1" thickBot="1">
      <c r="A9" s="462"/>
      <c r="B9" s="45">
        <v>1</v>
      </c>
      <c r="C9" s="46">
        <v>2</v>
      </c>
      <c r="D9" s="46">
        <v>3</v>
      </c>
      <c r="E9" s="46">
        <v>4</v>
      </c>
      <c r="F9" s="46">
        <v>5</v>
      </c>
      <c r="G9" s="46">
        <v>6</v>
      </c>
      <c r="H9" s="46">
        <v>7</v>
      </c>
      <c r="I9" s="46">
        <v>7</v>
      </c>
      <c r="J9" s="75">
        <v>8</v>
      </c>
      <c r="K9" s="81">
        <f>IF('School Info'!$W$7&gt;0,K8+1,"--")</f>
        <v>3</v>
      </c>
      <c r="L9" s="23">
        <f t="shared" ref="L9:L33" si="13">L8+1</f>
        <v>44898</v>
      </c>
      <c r="M9" s="22" t="str">
        <f t="shared" si="1"/>
        <v>Saturday</v>
      </c>
      <c r="N9" s="152" t="str">
        <f t="shared" si="2"/>
        <v>खुला</v>
      </c>
      <c r="O9" s="151" t="str">
        <f t="shared" si="3"/>
        <v>Saturday</v>
      </c>
      <c r="P9" s="165" t="str">
        <f t="shared" si="0"/>
        <v>रोटी - सब्जी</v>
      </c>
      <c r="Q9" s="324" t="str">
        <f t="shared" si="4"/>
        <v>W</v>
      </c>
      <c r="R9" s="330">
        <f>IF('School Info'!$W$7&gt;=K9,R8,"---")</f>
        <v>50</v>
      </c>
      <c r="S9" s="331">
        <f>IF('School Info'!$W$7&gt;=K9,S8,"---")</f>
        <v>215</v>
      </c>
      <c r="T9" s="331">
        <f t="shared" si="5"/>
        <v>265</v>
      </c>
      <c r="U9" s="331">
        <f>IF('School Info'!$W$7&gt;=K9,U8,"---")</f>
        <v>30</v>
      </c>
      <c r="V9" s="331">
        <f>IF('School Info'!$W$7&gt;=K9,V8,"---")</f>
        <v>43</v>
      </c>
      <c r="W9" s="327">
        <f t="shared" si="6"/>
        <v>73</v>
      </c>
      <c r="X9" s="342">
        <f>IF(U9="खुला",'School Info'!$D$13,0)</f>
        <v>0</v>
      </c>
      <c r="Y9" s="343"/>
      <c r="Z9" s="328">
        <f t="shared" si="7"/>
        <v>0</v>
      </c>
      <c r="AA9" s="343"/>
      <c r="AB9" s="343"/>
      <c r="AC9" s="329">
        <f t="shared" si="8"/>
        <v>0</v>
      </c>
      <c r="AD9" s="348"/>
      <c r="AE9" s="349">
        <v>0</v>
      </c>
      <c r="AF9" s="348"/>
      <c r="AG9" s="349">
        <v>0</v>
      </c>
      <c r="AH9" s="348"/>
      <c r="AI9" s="349">
        <v>0</v>
      </c>
      <c r="AJ9" s="348"/>
      <c r="AK9" s="349">
        <v>0</v>
      </c>
      <c r="AL9" s="610" t="s">
        <v>18</v>
      </c>
      <c r="AM9" s="612">
        <f>AT38</f>
        <v>0</v>
      </c>
      <c r="AN9" s="612">
        <f>AU38</f>
        <v>0</v>
      </c>
      <c r="AO9" s="581">
        <f>AM9+AN9</f>
        <v>0</v>
      </c>
      <c r="AP9" s="550"/>
      <c r="AQ9" s="260" t="s">
        <v>147</v>
      </c>
      <c r="AR9" s="72">
        <f t="shared" si="9"/>
        <v>0</v>
      </c>
      <c r="AS9" s="72">
        <f t="shared" si="10"/>
        <v>0</v>
      </c>
      <c r="AT9" s="72">
        <f t="shared" si="11"/>
        <v>0</v>
      </c>
      <c r="AU9" s="72">
        <f t="shared" si="12"/>
        <v>0</v>
      </c>
      <c r="AV9" s="260"/>
      <c r="AW9" s="73">
        <f>AR9*'School Info'!$E$17</f>
        <v>0</v>
      </c>
      <c r="AX9" s="73">
        <f>AS9*'School Info'!$E$17</f>
        <v>0</v>
      </c>
      <c r="AY9" s="73">
        <f>AT9*'School Info'!$E$18</f>
        <v>0</v>
      </c>
      <c r="AZ9" s="73">
        <f>AU9*'School Info'!$E$18</f>
        <v>0</v>
      </c>
    </row>
    <row r="10" spans="1:52" ht="23.25" customHeight="1" thickBot="1">
      <c r="A10" s="462"/>
      <c r="B10" s="173" t="s">
        <v>33</v>
      </c>
      <c r="C10" s="174" t="s">
        <v>34</v>
      </c>
      <c r="D10" s="43">
        <v>50</v>
      </c>
      <c r="E10" s="43">
        <v>20</v>
      </c>
      <c r="F10" s="147">
        <f>AD38</f>
        <v>0</v>
      </c>
      <c r="G10" s="147">
        <f>AH38</f>
        <v>0</v>
      </c>
      <c r="H10" s="43">
        <v>-10</v>
      </c>
      <c r="I10" s="43">
        <f>SUM(D10:H10)</f>
        <v>60</v>
      </c>
      <c r="J10" s="76">
        <v>20</v>
      </c>
      <c r="K10" s="81">
        <f>IF('School Info'!$W$7&gt;0,K9+1,"--")</f>
        <v>4</v>
      </c>
      <c r="L10" s="23">
        <f t="shared" si="13"/>
        <v>44899</v>
      </c>
      <c r="M10" s="22" t="str">
        <f t="shared" si="1"/>
        <v>Sunday</v>
      </c>
      <c r="N10" s="152" t="str">
        <f t="shared" si="2"/>
        <v>रवि॰अव॰</v>
      </c>
      <c r="O10" s="151" t="str">
        <f t="shared" si="3"/>
        <v>Holiday</v>
      </c>
      <c r="P10" s="165" t="str">
        <f t="shared" si="0"/>
        <v>---</v>
      </c>
      <c r="Q10" s="324" t="str">
        <f t="shared" si="4"/>
        <v>---</v>
      </c>
      <c r="R10" s="330">
        <f>IF('School Info'!$W$7&gt;=K10,R9,"---")</f>
        <v>50</v>
      </c>
      <c r="S10" s="331">
        <f>IF('School Info'!$W$7&gt;=K10,S9,"---")</f>
        <v>215</v>
      </c>
      <c r="T10" s="331">
        <f t="shared" si="5"/>
        <v>265</v>
      </c>
      <c r="U10" s="331">
        <f>IF('School Info'!$W$7&gt;=K10,U9,"---")</f>
        <v>30</v>
      </c>
      <c r="V10" s="331">
        <f>IF('School Info'!$W$7&gt;=K10,V9,"---")</f>
        <v>43</v>
      </c>
      <c r="W10" s="327">
        <f t="shared" si="6"/>
        <v>73</v>
      </c>
      <c r="X10" s="342">
        <f>IF(U10="खुला",'School Info'!$D$13,0)</f>
        <v>0</v>
      </c>
      <c r="Y10" s="343"/>
      <c r="Z10" s="328">
        <f t="shared" si="7"/>
        <v>0</v>
      </c>
      <c r="AA10" s="343"/>
      <c r="AB10" s="343"/>
      <c r="AC10" s="329">
        <f t="shared" si="8"/>
        <v>0</v>
      </c>
      <c r="AD10" s="348"/>
      <c r="AE10" s="349"/>
      <c r="AF10" s="348"/>
      <c r="AG10" s="349"/>
      <c r="AH10" s="348"/>
      <c r="AI10" s="349"/>
      <c r="AJ10" s="348"/>
      <c r="AK10" s="349"/>
      <c r="AL10" s="611"/>
      <c r="AM10" s="613"/>
      <c r="AN10" s="613"/>
      <c r="AO10" s="582"/>
      <c r="AP10" s="550"/>
      <c r="AQ10" s="260" t="s">
        <v>148</v>
      </c>
      <c r="AR10" s="72">
        <f t="shared" si="9"/>
        <v>0</v>
      </c>
      <c r="AS10" s="72">
        <f t="shared" si="10"/>
        <v>0</v>
      </c>
      <c r="AT10" s="72">
        <f t="shared" si="11"/>
        <v>0</v>
      </c>
      <c r="AU10" s="72">
        <f t="shared" si="12"/>
        <v>0</v>
      </c>
      <c r="AV10" s="260"/>
      <c r="AW10" s="73">
        <f>AR10*'School Info'!$E$17</f>
        <v>0</v>
      </c>
      <c r="AX10" s="73">
        <f>AS10*'School Info'!$E$17</f>
        <v>0</v>
      </c>
      <c r="AY10" s="73">
        <f>AT10*'School Info'!$E$18</f>
        <v>0</v>
      </c>
      <c r="AZ10" s="73">
        <f>AU10*'School Info'!$E$18</f>
        <v>0</v>
      </c>
    </row>
    <row r="11" spans="1:52" ht="23.25" customHeight="1" thickBot="1">
      <c r="A11" s="462"/>
      <c r="B11" s="175" t="s">
        <v>33</v>
      </c>
      <c r="C11" s="176" t="s">
        <v>35</v>
      </c>
      <c r="D11" s="24">
        <v>100</v>
      </c>
      <c r="E11" s="24">
        <v>40</v>
      </c>
      <c r="F11" s="148">
        <f>AF38</f>
        <v>0</v>
      </c>
      <c r="G11" s="148">
        <f>AJ38</f>
        <v>0</v>
      </c>
      <c r="H11" s="24">
        <v>-20</v>
      </c>
      <c r="I11" s="43">
        <f t="shared" ref="I11:I13" si="14">SUM(D11:H11)</f>
        <v>120</v>
      </c>
      <c r="J11" s="77">
        <v>40</v>
      </c>
      <c r="K11" s="81">
        <f>IF('School Info'!$W$7&gt;0,K10+1,"--")</f>
        <v>5</v>
      </c>
      <c r="L11" s="23">
        <f t="shared" si="13"/>
        <v>44900</v>
      </c>
      <c r="M11" s="22" t="str">
        <f t="shared" si="1"/>
        <v>Monday</v>
      </c>
      <c r="N11" s="152" t="str">
        <f t="shared" si="2"/>
        <v>खुला</v>
      </c>
      <c r="O11" s="151" t="str">
        <f t="shared" si="3"/>
        <v>Monday</v>
      </c>
      <c r="P11" s="165" t="str">
        <f t="shared" si="0"/>
        <v>रोटी - सब्जी</v>
      </c>
      <c r="Q11" s="324" t="str">
        <f t="shared" si="4"/>
        <v>W</v>
      </c>
      <c r="R11" s="330">
        <f>IF('School Info'!$W$7&gt;=K11,R10,"---")</f>
        <v>50</v>
      </c>
      <c r="S11" s="331">
        <f>IF('School Info'!$W$7&gt;=K11,S10,"---")</f>
        <v>215</v>
      </c>
      <c r="T11" s="331">
        <f t="shared" si="5"/>
        <v>265</v>
      </c>
      <c r="U11" s="331">
        <f>IF('School Info'!$W$7&gt;=K11,U10,"---")</f>
        <v>30</v>
      </c>
      <c r="V11" s="331">
        <f>IF('School Info'!$W$7&gt;=K11,V10,"---")</f>
        <v>43</v>
      </c>
      <c r="W11" s="327">
        <f t="shared" si="6"/>
        <v>73</v>
      </c>
      <c r="X11" s="342">
        <f>IF(U11="खुला",'School Info'!$D$13,0)</f>
        <v>0</v>
      </c>
      <c r="Y11" s="343"/>
      <c r="Z11" s="328">
        <f t="shared" si="7"/>
        <v>0</v>
      </c>
      <c r="AA11" s="343"/>
      <c r="AB11" s="343"/>
      <c r="AC11" s="329">
        <f t="shared" si="8"/>
        <v>0</v>
      </c>
      <c r="AD11" s="348"/>
      <c r="AE11" s="349"/>
      <c r="AF11" s="348"/>
      <c r="AG11" s="349"/>
      <c r="AH11" s="348"/>
      <c r="AI11" s="349"/>
      <c r="AJ11" s="348"/>
      <c r="AK11" s="349"/>
      <c r="AL11" s="608"/>
      <c r="AM11" s="608"/>
      <c r="AN11" s="608"/>
      <c r="AO11" s="609"/>
      <c r="AP11" s="550"/>
      <c r="AQ11" s="260" t="s">
        <v>149</v>
      </c>
      <c r="AR11" s="72">
        <f t="shared" si="9"/>
        <v>0</v>
      </c>
      <c r="AS11" s="72">
        <f t="shared" si="10"/>
        <v>0</v>
      </c>
      <c r="AT11" s="72">
        <f t="shared" si="11"/>
        <v>0</v>
      </c>
      <c r="AU11" s="72">
        <f t="shared" si="12"/>
        <v>0</v>
      </c>
      <c r="AV11" s="260"/>
      <c r="AW11" s="73">
        <f>AR11*'School Info'!$E$17</f>
        <v>0</v>
      </c>
      <c r="AX11" s="73">
        <f>AS11*'School Info'!$E$17</f>
        <v>0</v>
      </c>
      <c r="AY11" s="73">
        <f>AT11*'School Info'!$E$18</f>
        <v>0</v>
      </c>
      <c r="AZ11" s="73">
        <f>AU11*'School Info'!$E$18</f>
        <v>0</v>
      </c>
    </row>
    <row r="12" spans="1:52" ht="23.25" customHeight="1" thickBot="1">
      <c r="A12" s="462"/>
      <c r="B12" s="175" t="s">
        <v>36</v>
      </c>
      <c r="C12" s="176" t="s">
        <v>34</v>
      </c>
      <c r="D12" s="24">
        <v>80</v>
      </c>
      <c r="E12" s="24">
        <v>40</v>
      </c>
      <c r="F12" s="148">
        <f>AE38</f>
        <v>0</v>
      </c>
      <c r="G12" s="148">
        <f>AI38</f>
        <v>0</v>
      </c>
      <c r="H12" s="24">
        <v>-30</v>
      </c>
      <c r="I12" s="43">
        <f t="shared" si="14"/>
        <v>90</v>
      </c>
      <c r="J12" s="77">
        <v>70</v>
      </c>
      <c r="K12" s="81">
        <f>IF('School Info'!$W$7&gt;0,K11+1,"--")</f>
        <v>6</v>
      </c>
      <c r="L12" s="23">
        <f>L11+1</f>
        <v>44901</v>
      </c>
      <c r="M12" s="22" t="str">
        <f t="shared" si="1"/>
        <v>Tuesday</v>
      </c>
      <c r="N12" s="152" t="str">
        <f t="shared" si="2"/>
        <v>खुला</v>
      </c>
      <c r="O12" s="151" t="str">
        <f t="shared" si="3"/>
        <v>Tuesday</v>
      </c>
      <c r="P12" s="165" t="str">
        <f t="shared" si="0"/>
        <v>चावल एवं दाल/सब्जी</v>
      </c>
      <c r="Q12" s="324" t="str">
        <f t="shared" si="4"/>
        <v>R</v>
      </c>
      <c r="R12" s="330">
        <f>IF('School Info'!$W$7&gt;=K12,R11,"---")</f>
        <v>50</v>
      </c>
      <c r="S12" s="331">
        <f>IF('School Info'!$W$7&gt;=K12,S11,"---")</f>
        <v>215</v>
      </c>
      <c r="T12" s="331">
        <f t="shared" si="5"/>
        <v>265</v>
      </c>
      <c r="U12" s="331">
        <f>IF('School Info'!$W$7&gt;=K12,U11,"---")</f>
        <v>30</v>
      </c>
      <c r="V12" s="331">
        <f>IF('School Info'!$W$7&gt;=K12,V11,"---")</f>
        <v>43</v>
      </c>
      <c r="W12" s="327">
        <f t="shared" si="6"/>
        <v>73</v>
      </c>
      <c r="X12" s="342">
        <f>IF(U12="खुला",'School Info'!$D$13,0)</f>
        <v>0</v>
      </c>
      <c r="Y12" s="343"/>
      <c r="Z12" s="328">
        <f t="shared" si="7"/>
        <v>0</v>
      </c>
      <c r="AA12" s="343"/>
      <c r="AB12" s="343"/>
      <c r="AC12" s="329">
        <f t="shared" si="8"/>
        <v>0</v>
      </c>
      <c r="AD12" s="348"/>
      <c r="AE12" s="349"/>
      <c r="AF12" s="348"/>
      <c r="AG12" s="349"/>
      <c r="AH12" s="348"/>
      <c r="AI12" s="349"/>
      <c r="AJ12" s="348"/>
      <c r="AK12" s="349"/>
      <c r="AL12" s="616" t="s">
        <v>245</v>
      </c>
      <c r="AM12" s="616"/>
      <c r="AN12" s="616"/>
      <c r="AO12" s="617"/>
      <c r="AP12" s="550"/>
      <c r="AQ12" s="260" t="s">
        <v>170</v>
      </c>
      <c r="AR12" s="72">
        <f t="shared" si="9"/>
        <v>0</v>
      </c>
      <c r="AS12" s="72">
        <f t="shared" si="10"/>
        <v>0</v>
      </c>
      <c r="AT12" s="72">
        <f t="shared" si="11"/>
        <v>0</v>
      </c>
      <c r="AU12" s="72">
        <f t="shared" si="12"/>
        <v>0</v>
      </c>
      <c r="AV12" s="260"/>
      <c r="AW12" s="73">
        <f>AR12*'School Info'!$E$17</f>
        <v>0</v>
      </c>
      <c r="AX12" s="73">
        <f>AS12*'School Info'!$E$17</f>
        <v>0</v>
      </c>
      <c r="AY12" s="73">
        <f>AT12*'School Info'!$E$18</f>
        <v>0</v>
      </c>
      <c r="AZ12" s="73">
        <f>AU12*'School Info'!$E$18</f>
        <v>0</v>
      </c>
    </row>
    <row r="13" spans="1:52" ht="23.25" customHeight="1" thickBot="1">
      <c r="A13" s="462"/>
      <c r="B13" s="177" t="s">
        <v>36</v>
      </c>
      <c r="C13" s="178" t="s">
        <v>35</v>
      </c>
      <c r="D13" s="44">
        <v>60</v>
      </c>
      <c r="E13" s="44">
        <v>40</v>
      </c>
      <c r="F13" s="149">
        <f>AG38</f>
        <v>0</v>
      </c>
      <c r="G13" s="149">
        <f>AK38</f>
        <v>0</v>
      </c>
      <c r="H13" s="44">
        <v>-20</v>
      </c>
      <c r="I13" s="43">
        <f t="shared" si="14"/>
        <v>80</v>
      </c>
      <c r="J13" s="78">
        <v>60</v>
      </c>
      <c r="K13" s="81">
        <f>IF('School Info'!$W$7&gt;0,K12+1,"--")</f>
        <v>7</v>
      </c>
      <c r="L13" s="23">
        <f t="shared" si="13"/>
        <v>44902</v>
      </c>
      <c r="M13" s="22" t="str">
        <f t="shared" si="1"/>
        <v>Wednesday</v>
      </c>
      <c r="N13" s="152" t="str">
        <f t="shared" si="2"/>
        <v>खुला</v>
      </c>
      <c r="O13" s="151" t="str">
        <f t="shared" si="3"/>
        <v>Wednesday</v>
      </c>
      <c r="P13" s="165" t="str">
        <f t="shared" si="0"/>
        <v>रोटी - दाल</v>
      </c>
      <c r="Q13" s="324" t="str">
        <f t="shared" si="4"/>
        <v>W</v>
      </c>
      <c r="R13" s="330">
        <f>IF('School Info'!$W$7&gt;=K13,R12,"---")</f>
        <v>50</v>
      </c>
      <c r="S13" s="331">
        <f>IF('School Info'!$W$7&gt;=K13,S12,"---")</f>
        <v>215</v>
      </c>
      <c r="T13" s="331">
        <f t="shared" si="5"/>
        <v>265</v>
      </c>
      <c r="U13" s="331">
        <f>IF('School Info'!$W$7&gt;=K13,U12,"---")</f>
        <v>30</v>
      </c>
      <c r="V13" s="331">
        <f>IF('School Info'!$W$7&gt;=K13,V12,"---")</f>
        <v>43</v>
      </c>
      <c r="W13" s="327">
        <f t="shared" si="6"/>
        <v>73</v>
      </c>
      <c r="X13" s="342">
        <f>IF(U13="खुला",'School Info'!$D$13,0)</f>
        <v>0</v>
      </c>
      <c r="Y13" s="343"/>
      <c r="Z13" s="328">
        <f t="shared" si="7"/>
        <v>0</v>
      </c>
      <c r="AA13" s="343"/>
      <c r="AB13" s="343"/>
      <c r="AC13" s="329">
        <f t="shared" si="8"/>
        <v>0</v>
      </c>
      <c r="AD13" s="348"/>
      <c r="AE13" s="349"/>
      <c r="AF13" s="348"/>
      <c r="AG13" s="349"/>
      <c r="AH13" s="348"/>
      <c r="AI13" s="349"/>
      <c r="AJ13" s="348"/>
      <c r="AK13" s="349"/>
      <c r="AL13" s="618"/>
      <c r="AM13" s="618"/>
      <c r="AN13" s="618"/>
      <c r="AO13" s="619"/>
      <c r="AP13" s="550"/>
      <c r="AQ13" s="260" t="s">
        <v>150</v>
      </c>
      <c r="AR13" s="72">
        <f t="shared" si="9"/>
        <v>0</v>
      </c>
      <c r="AS13" s="72">
        <f t="shared" si="10"/>
        <v>0</v>
      </c>
      <c r="AT13" s="72">
        <f t="shared" si="11"/>
        <v>0</v>
      </c>
      <c r="AU13" s="72">
        <f t="shared" si="12"/>
        <v>0</v>
      </c>
      <c r="AV13" s="260"/>
      <c r="AW13" s="73">
        <f>AR13*'School Info'!$E$17</f>
        <v>0</v>
      </c>
      <c r="AX13" s="73">
        <f>AS13*'School Info'!$E$17</f>
        <v>0</v>
      </c>
      <c r="AY13" s="73">
        <f>AT13*'School Info'!$E$18</f>
        <v>0</v>
      </c>
      <c r="AZ13" s="73">
        <f>AU13*'School Info'!$E$18</f>
        <v>0</v>
      </c>
    </row>
    <row r="14" spans="1:52" ht="23.25" customHeight="1" thickBot="1">
      <c r="A14" s="462"/>
      <c r="B14" s="594" t="s">
        <v>311</v>
      </c>
      <c r="C14" s="595"/>
      <c r="D14" s="595"/>
      <c r="E14" s="595"/>
      <c r="F14" s="595"/>
      <c r="G14" s="595"/>
      <c r="H14" s="595"/>
      <c r="I14" s="595"/>
      <c r="J14" s="595"/>
      <c r="K14" s="81">
        <f>IF('School Info'!$W$7&gt;0,K13+1,"--")</f>
        <v>8</v>
      </c>
      <c r="L14" s="23">
        <f>L13+1</f>
        <v>44903</v>
      </c>
      <c r="M14" s="22" t="str">
        <f t="shared" si="1"/>
        <v>Thursday</v>
      </c>
      <c r="N14" s="152" t="s">
        <v>173</v>
      </c>
      <c r="O14" s="151" t="str">
        <f t="shared" si="3"/>
        <v>Thursday</v>
      </c>
      <c r="P14" s="165" t="str">
        <f t="shared" si="0"/>
        <v>खिचडी</v>
      </c>
      <c r="Q14" s="324" t="str">
        <f t="shared" si="4"/>
        <v>R</v>
      </c>
      <c r="R14" s="330">
        <f>IF('School Info'!$W$7&gt;=K14,R13,"---")</f>
        <v>50</v>
      </c>
      <c r="S14" s="331">
        <f>IF('School Info'!$W$7&gt;=K14,S13,"---")</f>
        <v>215</v>
      </c>
      <c r="T14" s="331">
        <f t="shared" si="5"/>
        <v>265</v>
      </c>
      <c r="U14" s="331">
        <f>IF('School Info'!$W$7&gt;=K14,U13,"---")</f>
        <v>30</v>
      </c>
      <c r="V14" s="331">
        <f>IF('School Info'!$W$7&gt;=K14,V13,"---")</f>
        <v>43</v>
      </c>
      <c r="W14" s="327">
        <f t="shared" si="6"/>
        <v>73</v>
      </c>
      <c r="X14" s="342">
        <f>IF(U14="खुला",'School Info'!$D$13,0)</f>
        <v>0</v>
      </c>
      <c r="Y14" s="343"/>
      <c r="Z14" s="328">
        <f t="shared" si="7"/>
        <v>0</v>
      </c>
      <c r="AA14" s="343"/>
      <c r="AB14" s="343"/>
      <c r="AC14" s="329">
        <f t="shared" si="8"/>
        <v>0</v>
      </c>
      <c r="AD14" s="348"/>
      <c r="AE14" s="349"/>
      <c r="AF14" s="348"/>
      <c r="AG14" s="349"/>
      <c r="AH14" s="348"/>
      <c r="AI14" s="349"/>
      <c r="AJ14" s="348"/>
      <c r="AK14" s="349"/>
      <c r="AL14" s="618"/>
      <c r="AM14" s="618"/>
      <c r="AN14" s="618"/>
      <c r="AO14" s="619"/>
      <c r="AP14" s="550"/>
      <c r="AQ14" s="260" t="s">
        <v>151</v>
      </c>
      <c r="AR14" s="72">
        <f t="shared" si="9"/>
        <v>0</v>
      </c>
      <c r="AS14" s="72">
        <f t="shared" si="10"/>
        <v>0</v>
      </c>
      <c r="AT14" s="72">
        <f t="shared" si="11"/>
        <v>0</v>
      </c>
      <c r="AU14" s="72">
        <f t="shared" si="12"/>
        <v>0</v>
      </c>
      <c r="AV14" s="260"/>
      <c r="AW14" s="73">
        <f>AR14*'School Info'!$E$17</f>
        <v>0</v>
      </c>
      <c r="AX14" s="73">
        <f>AS14*'School Info'!$E$17</f>
        <v>0</v>
      </c>
      <c r="AY14" s="73">
        <f>AT14*'School Info'!$E$18</f>
        <v>0</v>
      </c>
      <c r="AZ14" s="73">
        <f>AU14*'School Info'!$E$18</f>
        <v>0</v>
      </c>
    </row>
    <row r="15" spans="1:52" ht="23.25" customHeight="1">
      <c r="A15" s="462"/>
      <c r="B15" s="596" t="s">
        <v>33</v>
      </c>
      <c r="C15" s="597"/>
      <c r="D15" s="597"/>
      <c r="E15" s="598"/>
      <c r="F15" s="614" t="s">
        <v>36</v>
      </c>
      <c r="G15" s="615"/>
      <c r="H15" s="615"/>
      <c r="I15" s="615"/>
      <c r="J15" s="615"/>
      <c r="K15" s="81">
        <f>IF('School Info'!$W$7&gt;0,K14+1,"--")</f>
        <v>9</v>
      </c>
      <c r="L15" s="23">
        <f t="shared" si="13"/>
        <v>44904</v>
      </c>
      <c r="M15" s="22" t="str">
        <f t="shared" si="1"/>
        <v>Friday</v>
      </c>
      <c r="N15" s="152" t="str">
        <f t="shared" si="2"/>
        <v>खुला</v>
      </c>
      <c r="O15" s="151" t="str">
        <f t="shared" si="3"/>
        <v>Friday</v>
      </c>
      <c r="P15" s="165" t="str">
        <f t="shared" si="0"/>
        <v>रोटी - दाल</v>
      </c>
      <c r="Q15" s="324" t="str">
        <f t="shared" si="4"/>
        <v>W</v>
      </c>
      <c r="R15" s="330">
        <f>IF('School Info'!$W$7&gt;=K15,R14,"---")</f>
        <v>50</v>
      </c>
      <c r="S15" s="331">
        <f>IF('School Info'!$W$7&gt;=K15,S14,"---")</f>
        <v>215</v>
      </c>
      <c r="T15" s="331">
        <f t="shared" si="5"/>
        <v>265</v>
      </c>
      <c r="U15" s="331">
        <f>IF('School Info'!$W$7&gt;=K15,U14,"---")</f>
        <v>30</v>
      </c>
      <c r="V15" s="331">
        <f>IF('School Info'!$W$7&gt;=K15,V14,"---")</f>
        <v>43</v>
      </c>
      <c r="W15" s="327">
        <f t="shared" si="6"/>
        <v>73</v>
      </c>
      <c r="X15" s="342">
        <f>IF(U15="खुला",'School Info'!$D$13,0)</f>
        <v>0</v>
      </c>
      <c r="Y15" s="343"/>
      <c r="Z15" s="328">
        <f t="shared" si="7"/>
        <v>0</v>
      </c>
      <c r="AA15" s="343"/>
      <c r="AB15" s="343"/>
      <c r="AC15" s="329">
        <f t="shared" si="8"/>
        <v>0</v>
      </c>
      <c r="AD15" s="348"/>
      <c r="AE15" s="349"/>
      <c r="AF15" s="348"/>
      <c r="AG15" s="349"/>
      <c r="AH15" s="348"/>
      <c r="AI15" s="349"/>
      <c r="AJ15" s="348"/>
      <c r="AK15" s="349"/>
      <c r="AL15" s="618"/>
      <c r="AM15" s="618"/>
      <c r="AN15" s="618"/>
      <c r="AO15" s="619"/>
      <c r="AP15" s="550"/>
      <c r="AQ15" s="260" t="s">
        <v>152</v>
      </c>
      <c r="AR15" s="72">
        <f t="shared" si="9"/>
        <v>0</v>
      </c>
      <c r="AS15" s="72">
        <f t="shared" si="10"/>
        <v>0</v>
      </c>
      <c r="AT15" s="72">
        <f t="shared" si="11"/>
        <v>0</v>
      </c>
      <c r="AU15" s="72">
        <f t="shared" si="12"/>
        <v>0</v>
      </c>
      <c r="AV15" s="260"/>
      <c r="AW15" s="73">
        <f>AR15*'School Info'!$E$17</f>
        <v>0</v>
      </c>
      <c r="AX15" s="73">
        <f>AS15*'School Info'!$E$17</f>
        <v>0</v>
      </c>
      <c r="AY15" s="73">
        <f>AT15*'School Info'!$E$18</f>
        <v>0</v>
      </c>
      <c r="AZ15" s="73">
        <f>AU15*'School Info'!$E$18</f>
        <v>0</v>
      </c>
    </row>
    <row r="16" spans="1:52" ht="23.25" customHeight="1">
      <c r="A16" s="462"/>
      <c r="B16" s="179" t="s">
        <v>126</v>
      </c>
      <c r="C16" s="180" t="s">
        <v>44</v>
      </c>
      <c r="D16" s="181" t="s">
        <v>45</v>
      </c>
      <c r="E16" s="181" t="s">
        <v>125</v>
      </c>
      <c r="F16" s="181" t="s">
        <v>126</v>
      </c>
      <c r="G16" s="181" t="s">
        <v>44</v>
      </c>
      <c r="H16" s="181" t="s">
        <v>45</v>
      </c>
      <c r="I16" s="181"/>
      <c r="J16" s="332" t="s">
        <v>125</v>
      </c>
      <c r="K16" s="81">
        <f>IF('School Info'!$W$7&gt;0,K15+1,"--")</f>
        <v>10</v>
      </c>
      <c r="L16" s="23">
        <f t="shared" si="13"/>
        <v>44905</v>
      </c>
      <c r="M16" s="22" t="str">
        <f t="shared" si="1"/>
        <v>Saturday</v>
      </c>
      <c r="N16" s="152" t="str">
        <f t="shared" si="2"/>
        <v>खुला</v>
      </c>
      <c r="O16" s="151" t="str">
        <f t="shared" si="3"/>
        <v>Saturday</v>
      </c>
      <c r="P16" s="165" t="str">
        <f t="shared" si="0"/>
        <v>रोटी - सब्जी</v>
      </c>
      <c r="Q16" s="324" t="str">
        <f t="shared" si="4"/>
        <v>W</v>
      </c>
      <c r="R16" s="330">
        <f>IF('School Info'!$W$7&gt;=K16,R15,"---")</f>
        <v>50</v>
      </c>
      <c r="S16" s="331">
        <f>IF('School Info'!$W$7&gt;=K16,S15,"---")</f>
        <v>215</v>
      </c>
      <c r="T16" s="331">
        <f t="shared" si="5"/>
        <v>265</v>
      </c>
      <c r="U16" s="331">
        <f>IF('School Info'!$W$7&gt;=K16,U15,"---")</f>
        <v>30</v>
      </c>
      <c r="V16" s="331">
        <f>IF('School Info'!$W$7&gt;=K16,V15,"---")</f>
        <v>43</v>
      </c>
      <c r="W16" s="327">
        <f t="shared" si="6"/>
        <v>73</v>
      </c>
      <c r="X16" s="342">
        <f>IF(U16="खुला",'School Info'!$D$13,0)</f>
        <v>0</v>
      </c>
      <c r="Y16" s="343"/>
      <c r="Z16" s="328">
        <f t="shared" si="7"/>
        <v>0</v>
      </c>
      <c r="AA16" s="343"/>
      <c r="AB16" s="343"/>
      <c r="AC16" s="329">
        <f t="shared" si="8"/>
        <v>0</v>
      </c>
      <c r="AD16" s="348"/>
      <c r="AE16" s="349"/>
      <c r="AF16" s="348"/>
      <c r="AG16" s="349"/>
      <c r="AH16" s="348"/>
      <c r="AI16" s="349"/>
      <c r="AJ16" s="348"/>
      <c r="AK16" s="349"/>
      <c r="AL16" s="618"/>
      <c r="AM16" s="618"/>
      <c r="AN16" s="618"/>
      <c r="AO16" s="619"/>
      <c r="AP16" s="550"/>
      <c r="AQ16" s="260" t="s">
        <v>153</v>
      </c>
      <c r="AR16" s="72">
        <f t="shared" si="9"/>
        <v>0</v>
      </c>
      <c r="AS16" s="72">
        <f t="shared" si="10"/>
        <v>0</v>
      </c>
      <c r="AT16" s="72">
        <f t="shared" si="11"/>
        <v>0</v>
      </c>
      <c r="AU16" s="72">
        <f t="shared" si="12"/>
        <v>0</v>
      </c>
      <c r="AV16" s="260"/>
      <c r="AW16" s="73">
        <f>AR16*'School Info'!$E$17</f>
        <v>0</v>
      </c>
      <c r="AX16" s="73">
        <f>AS16*'School Info'!$E$17</f>
        <v>0</v>
      </c>
      <c r="AY16" s="73">
        <f>AT16*'School Info'!$E$18</f>
        <v>0</v>
      </c>
      <c r="AZ16" s="73">
        <f>AU16*'School Info'!$E$18</f>
        <v>0</v>
      </c>
    </row>
    <row r="17" spans="1:52" ht="23.25" customHeight="1">
      <c r="A17" s="462"/>
      <c r="B17" s="322"/>
      <c r="C17" s="322"/>
      <c r="D17" s="323"/>
      <c r="E17" s="172">
        <f>B17+C17+D17</f>
        <v>0</v>
      </c>
      <c r="F17" s="323"/>
      <c r="G17" s="323"/>
      <c r="H17" s="323"/>
      <c r="I17" s="171"/>
      <c r="J17" s="172">
        <f>F17+G17+H17</f>
        <v>0</v>
      </c>
      <c r="K17" s="81">
        <f>IF('School Info'!$W$7&gt;0,K16+1,"--")</f>
        <v>11</v>
      </c>
      <c r="L17" s="23">
        <f t="shared" si="13"/>
        <v>44906</v>
      </c>
      <c r="M17" s="22" t="str">
        <f t="shared" si="1"/>
        <v>Sunday</v>
      </c>
      <c r="N17" s="152" t="str">
        <f t="shared" si="2"/>
        <v>रवि॰अव॰</v>
      </c>
      <c r="O17" s="151" t="str">
        <f t="shared" si="3"/>
        <v>Holiday</v>
      </c>
      <c r="P17" s="165" t="str">
        <f t="shared" si="0"/>
        <v>---</v>
      </c>
      <c r="Q17" s="324" t="str">
        <f t="shared" si="4"/>
        <v>---</v>
      </c>
      <c r="R17" s="330">
        <f>IF('School Info'!$W$7&gt;=K17,R16,"---")</f>
        <v>50</v>
      </c>
      <c r="S17" s="331">
        <f>IF('School Info'!$W$7&gt;=K17,S16,"---")</f>
        <v>215</v>
      </c>
      <c r="T17" s="331">
        <f t="shared" si="5"/>
        <v>265</v>
      </c>
      <c r="U17" s="331">
        <f>IF('School Info'!$W$7&gt;=K17,U16,"---")</f>
        <v>30</v>
      </c>
      <c r="V17" s="331">
        <f>IF('School Info'!$W$7&gt;=K17,V16,"---")</f>
        <v>43</v>
      </c>
      <c r="W17" s="327">
        <f t="shared" si="6"/>
        <v>73</v>
      </c>
      <c r="X17" s="342">
        <f>IF(U17="खुला",'School Info'!$D$13,0)</f>
        <v>0</v>
      </c>
      <c r="Y17" s="343"/>
      <c r="Z17" s="328">
        <f t="shared" si="7"/>
        <v>0</v>
      </c>
      <c r="AA17" s="343"/>
      <c r="AB17" s="343"/>
      <c r="AC17" s="329">
        <f t="shared" si="8"/>
        <v>0</v>
      </c>
      <c r="AD17" s="348"/>
      <c r="AE17" s="349"/>
      <c r="AF17" s="348"/>
      <c r="AG17" s="349"/>
      <c r="AH17" s="348"/>
      <c r="AI17" s="349"/>
      <c r="AJ17" s="348"/>
      <c r="AK17" s="349"/>
      <c r="AL17" s="618"/>
      <c r="AM17" s="618"/>
      <c r="AN17" s="618"/>
      <c r="AO17" s="619"/>
      <c r="AP17" s="550"/>
      <c r="AQ17" s="260" t="s">
        <v>154</v>
      </c>
      <c r="AR17" s="72">
        <f t="shared" si="9"/>
        <v>0</v>
      </c>
      <c r="AS17" s="72">
        <f t="shared" si="10"/>
        <v>0</v>
      </c>
      <c r="AT17" s="72">
        <f t="shared" si="11"/>
        <v>0</v>
      </c>
      <c r="AU17" s="72">
        <f t="shared" si="12"/>
        <v>0</v>
      </c>
      <c r="AV17" s="260"/>
      <c r="AW17" s="73">
        <f>AR17*'School Info'!$E$17</f>
        <v>0</v>
      </c>
      <c r="AX17" s="73">
        <f>AS17*'School Info'!$E$17</f>
        <v>0</v>
      </c>
      <c r="AY17" s="73">
        <f>AT17*'School Info'!$E$18</f>
        <v>0</v>
      </c>
      <c r="AZ17" s="73">
        <f>AU17*'School Info'!$E$18</f>
        <v>0</v>
      </c>
    </row>
    <row r="18" spans="1:52" ht="23.25" customHeight="1" thickBot="1">
      <c r="A18" s="462"/>
      <c r="B18" s="528" t="s">
        <v>115</v>
      </c>
      <c r="C18" s="529"/>
      <c r="D18" s="529"/>
      <c r="E18" s="529"/>
      <c r="F18" s="529"/>
      <c r="G18" s="529"/>
      <c r="H18" s="529"/>
      <c r="I18" s="529"/>
      <c r="J18" s="529"/>
      <c r="K18" s="81">
        <f>IF('School Info'!$W$7&gt;0,K17+1,"--")</f>
        <v>12</v>
      </c>
      <c r="L18" s="23">
        <f t="shared" si="13"/>
        <v>44907</v>
      </c>
      <c r="M18" s="22" t="str">
        <f t="shared" si="1"/>
        <v>Monday</v>
      </c>
      <c r="N18" s="152" t="str">
        <f t="shared" si="2"/>
        <v>खुला</v>
      </c>
      <c r="O18" s="151" t="str">
        <f t="shared" si="3"/>
        <v>Monday</v>
      </c>
      <c r="P18" s="165" t="str">
        <f t="shared" si="0"/>
        <v>रोटी - सब्जी</v>
      </c>
      <c r="Q18" s="324" t="str">
        <f t="shared" si="4"/>
        <v>W</v>
      </c>
      <c r="R18" s="330">
        <f>IF('School Info'!$W$7&gt;=K18,R17,"---")</f>
        <v>50</v>
      </c>
      <c r="S18" s="331">
        <f>IF('School Info'!$W$7&gt;=K18,S17,"---")</f>
        <v>215</v>
      </c>
      <c r="T18" s="331">
        <f t="shared" si="5"/>
        <v>265</v>
      </c>
      <c r="U18" s="331">
        <f>IF('School Info'!$W$7&gt;=K18,U17,"---")</f>
        <v>30</v>
      </c>
      <c r="V18" s="331">
        <f>IF('School Info'!$W$7&gt;=K18,V17,"---")</f>
        <v>43</v>
      </c>
      <c r="W18" s="327">
        <f t="shared" si="6"/>
        <v>73</v>
      </c>
      <c r="X18" s="342">
        <f>IF(U18="खुला",'School Info'!$D$13,0)</f>
        <v>0</v>
      </c>
      <c r="Y18" s="343"/>
      <c r="Z18" s="328">
        <f t="shared" si="7"/>
        <v>0</v>
      </c>
      <c r="AA18" s="343"/>
      <c r="AB18" s="343"/>
      <c r="AC18" s="329">
        <f t="shared" si="8"/>
        <v>0</v>
      </c>
      <c r="AD18" s="348"/>
      <c r="AE18" s="349"/>
      <c r="AF18" s="348"/>
      <c r="AG18" s="349"/>
      <c r="AH18" s="348"/>
      <c r="AI18" s="349"/>
      <c r="AJ18" s="348"/>
      <c r="AK18" s="349"/>
      <c r="AL18" s="618"/>
      <c r="AM18" s="618"/>
      <c r="AN18" s="618"/>
      <c r="AO18" s="619"/>
      <c r="AP18" s="550"/>
      <c r="AQ18" s="260" t="s">
        <v>155</v>
      </c>
      <c r="AR18" s="72">
        <f t="shared" si="9"/>
        <v>0</v>
      </c>
      <c r="AS18" s="72">
        <f t="shared" si="10"/>
        <v>0</v>
      </c>
      <c r="AT18" s="72">
        <f t="shared" si="11"/>
        <v>0</v>
      </c>
      <c r="AU18" s="72">
        <f t="shared" si="12"/>
        <v>0</v>
      </c>
      <c r="AV18" s="260"/>
      <c r="AW18" s="73">
        <f>AR18*'School Info'!$E$17</f>
        <v>0</v>
      </c>
      <c r="AX18" s="73">
        <f>AS18*'School Info'!$E$17</f>
        <v>0</v>
      </c>
      <c r="AY18" s="73">
        <f>AT18*'School Info'!$E$18</f>
        <v>0</v>
      </c>
      <c r="AZ18" s="73">
        <f>AU18*'School Info'!$E$18</f>
        <v>0</v>
      </c>
    </row>
    <row r="19" spans="1:52" ht="23.25" customHeight="1">
      <c r="A19" s="462"/>
      <c r="B19" s="599" t="s">
        <v>116</v>
      </c>
      <c r="C19" s="600"/>
      <c r="D19" s="601"/>
      <c r="E19" s="599" t="s">
        <v>117</v>
      </c>
      <c r="F19" s="600"/>
      <c r="G19" s="601"/>
      <c r="H19" s="575" t="s">
        <v>118</v>
      </c>
      <c r="I19" s="576"/>
      <c r="J19" s="577"/>
      <c r="K19" s="81">
        <f>IF('School Info'!$W$7&gt;0,K18+1,"--")</f>
        <v>13</v>
      </c>
      <c r="L19" s="23">
        <f t="shared" si="13"/>
        <v>44908</v>
      </c>
      <c r="M19" s="22" t="str">
        <f t="shared" si="1"/>
        <v>Tuesday</v>
      </c>
      <c r="N19" s="152" t="str">
        <f t="shared" si="2"/>
        <v>खुला</v>
      </c>
      <c r="O19" s="151" t="str">
        <f t="shared" si="3"/>
        <v>Tuesday</v>
      </c>
      <c r="P19" s="165" t="str">
        <f t="shared" si="0"/>
        <v>चावल एवं दाल/सब्जी</v>
      </c>
      <c r="Q19" s="324" t="str">
        <f t="shared" si="4"/>
        <v>R</v>
      </c>
      <c r="R19" s="330">
        <f>IF('School Info'!$W$7&gt;=K19,R18,"---")</f>
        <v>50</v>
      </c>
      <c r="S19" s="331">
        <f>IF('School Info'!$W$7&gt;=K19,S18,"---")</f>
        <v>215</v>
      </c>
      <c r="T19" s="331">
        <f t="shared" si="5"/>
        <v>265</v>
      </c>
      <c r="U19" s="331">
        <f>IF('School Info'!$W$7&gt;=K19,U18,"---")</f>
        <v>30</v>
      </c>
      <c r="V19" s="331">
        <f>IF('School Info'!$W$7&gt;=K19,V18,"---")</f>
        <v>43</v>
      </c>
      <c r="W19" s="327">
        <f t="shared" si="6"/>
        <v>73</v>
      </c>
      <c r="X19" s="342">
        <f>IF(U19="खुला",'School Info'!$D$13,0)</f>
        <v>0</v>
      </c>
      <c r="Y19" s="343"/>
      <c r="Z19" s="328">
        <f t="shared" si="7"/>
        <v>0</v>
      </c>
      <c r="AA19" s="343"/>
      <c r="AB19" s="343"/>
      <c r="AC19" s="329">
        <f t="shared" si="8"/>
        <v>0</v>
      </c>
      <c r="AD19" s="348"/>
      <c r="AE19" s="349"/>
      <c r="AF19" s="348"/>
      <c r="AG19" s="349"/>
      <c r="AH19" s="348"/>
      <c r="AI19" s="349"/>
      <c r="AJ19" s="348"/>
      <c r="AK19" s="349"/>
      <c r="AL19" s="618"/>
      <c r="AM19" s="618"/>
      <c r="AN19" s="618"/>
      <c r="AO19" s="619"/>
      <c r="AP19" s="550"/>
      <c r="AQ19" s="260" t="s">
        <v>156</v>
      </c>
      <c r="AR19" s="72">
        <f t="shared" si="9"/>
        <v>0</v>
      </c>
      <c r="AS19" s="72">
        <f t="shared" si="10"/>
        <v>0</v>
      </c>
      <c r="AT19" s="72">
        <f t="shared" si="11"/>
        <v>0</v>
      </c>
      <c r="AU19" s="72">
        <f t="shared" si="12"/>
        <v>0</v>
      </c>
      <c r="AV19" s="260"/>
      <c r="AW19" s="73">
        <f>AR19*'School Info'!$E$17</f>
        <v>0</v>
      </c>
      <c r="AX19" s="73">
        <f>AS19*'School Info'!$E$17</f>
        <v>0</v>
      </c>
      <c r="AY19" s="73">
        <f>AT19*'School Info'!$E$18</f>
        <v>0</v>
      </c>
      <c r="AZ19" s="73">
        <f>AU19*'School Info'!$E$18</f>
        <v>0</v>
      </c>
    </row>
    <row r="20" spans="1:52" ht="23.25" customHeight="1">
      <c r="A20" s="462"/>
      <c r="B20" s="562" t="s">
        <v>178</v>
      </c>
      <c r="C20" s="563"/>
      <c r="D20" s="564"/>
      <c r="E20" s="565" t="s">
        <v>119</v>
      </c>
      <c r="F20" s="566"/>
      <c r="G20" s="567"/>
      <c r="H20" s="572" t="s">
        <v>198</v>
      </c>
      <c r="I20" s="573"/>
      <c r="J20" s="574"/>
      <c r="K20" s="81">
        <f>IF('School Info'!$W$7&gt;0,K19+1,"--")</f>
        <v>14</v>
      </c>
      <c r="L20" s="23">
        <f t="shared" si="13"/>
        <v>44909</v>
      </c>
      <c r="M20" s="22" t="str">
        <f t="shared" si="1"/>
        <v>Wednesday</v>
      </c>
      <c r="N20" s="152" t="str">
        <f t="shared" si="2"/>
        <v>खुला</v>
      </c>
      <c r="O20" s="151" t="str">
        <f t="shared" si="3"/>
        <v>Wednesday</v>
      </c>
      <c r="P20" s="165" t="str">
        <f t="shared" si="0"/>
        <v>रोटी - दाल</v>
      </c>
      <c r="Q20" s="324" t="str">
        <f t="shared" si="4"/>
        <v>W</v>
      </c>
      <c r="R20" s="330">
        <f>IF('School Info'!$W$7&gt;=K20,R19,"---")</f>
        <v>50</v>
      </c>
      <c r="S20" s="331">
        <f>IF('School Info'!$W$7&gt;=K20,S19,"---")</f>
        <v>215</v>
      </c>
      <c r="T20" s="331">
        <f t="shared" si="5"/>
        <v>265</v>
      </c>
      <c r="U20" s="331">
        <f>IF('School Info'!$W$7&gt;=K20,U19,"---")</f>
        <v>30</v>
      </c>
      <c r="V20" s="331">
        <f>IF('School Info'!$W$7&gt;=K20,V19,"---")</f>
        <v>43</v>
      </c>
      <c r="W20" s="327">
        <f t="shared" si="6"/>
        <v>73</v>
      </c>
      <c r="X20" s="342">
        <f>IF(U20="खुला",'School Info'!$D$13,0)</f>
        <v>0</v>
      </c>
      <c r="Y20" s="343"/>
      <c r="Z20" s="328">
        <f t="shared" si="7"/>
        <v>0</v>
      </c>
      <c r="AA20" s="343"/>
      <c r="AB20" s="343"/>
      <c r="AC20" s="329">
        <f t="shared" si="8"/>
        <v>0</v>
      </c>
      <c r="AD20" s="348"/>
      <c r="AE20" s="349"/>
      <c r="AF20" s="348"/>
      <c r="AG20" s="349"/>
      <c r="AH20" s="348"/>
      <c r="AI20" s="349"/>
      <c r="AJ20" s="348"/>
      <c r="AK20" s="349"/>
      <c r="AL20" s="618"/>
      <c r="AM20" s="618"/>
      <c r="AN20" s="618"/>
      <c r="AO20" s="619"/>
      <c r="AP20" s="550"/>
      <c r="AQ20" s="260" t="s">
        <v>157</v>
      </c>
      <c r="AR20" s="72">
        <f t="shared" si="9"/>
        <v>0</v>
      </c>
      <c r="AS20" s="72">
        <f t="shared" si="10"/>
        <v>0</v>
      </c>
      <c r="AT20" s="72">
        <f t="shared" si="11"/>
        <v>0</v>
      </c>
      <c r="AU20" s="72">
        <f t="shared" si="12"/>
        <v>0</v>
      </c>
      <c r="AV20" s="260"/>
      <c r="AW20" s="73">
        <f>AR20*'School Info'!$E$17</f>
        <v>0</v>
      </c>
      <c r="AX20" s="73">
        <f>AS20*'School Info'!$E$17</f>
        <v>0</v>
      </c>
      <c r="AY20" s="73">
        <f>AT20*'School Info'!$E$18</f>
        <v>0</v>
      </c>
      <c r="AZ20" s="73">
        <f>AU20*'School Info'!$E$18</f>
        <v>0</v>
      </c>
    </row>
    <row r="21" spans="1:52" ht="23.25" customHeight="1">
      <c r="A21" s="462"/>
      <c r="B21" s="562" t="s">
        <v>179</v>
      </c>
      <c r="C21" s="563"/>
      <c r="D21" s="564"/>
      <c r="E21" s="565" t="s">
        <v>308</v>
      </c>
      <c r="F21" s="566"/>
      <c r="G21" s="567"/>
      <c r="H21" s="572" t="s">
        <v>120</v>
      </c>
      <c r="I21" s="573"/>
      <c r="J21" s="574"/>
      <c r="K21" s="81">
        <f>IF('School Info'!$W$7&gt;0,K20+1,"--")</f>
        <v>15</v>
      </c>
      <c r="L21" s="23">
        <f t="shared" si="13"/>
        <v>44910</v>
      </c>
      <c r="M21" s="22" t="str">
        <f t="shared" si="1"/>
        <v>Thursday</v>
      </c>
      <c r="N21" s="152" t="str">
        <f t="shared" si="2"/>
        <v>खुला</v>
      </c>
      <c r="O21" s="151" t="str">
        <f t="shared" si="3"/>
        <v>Thursday</v>
      </c>
      <c r="P21" s="165" t="str">
        <f t="shared" si="0"/>
        <v>खिचडी</v>
      </c>
      <c r="Q21" s="324" t="str">
        <f t="shared" si="4"/>
        <v>R</v>
      </c>
      <c r="R21" s="330">
        <f>IF('School Info'!$W$7&gt;=K21,R20,"---")</f>
        <v>50</v>
      </c>
      <c r="S21" s="331">
        <f>IF('School Info'!$W$7&gt;=K21,S20,"---")</f>
        <v>215</v>
      </c>
      <c r="T21" s="331">
        <f t="shared" si="5"/>
        <v>265</v>
      </c>
      <c r="U21" s="331">
        <f>IF('School Info'!$W$7&gt;=K21,U20,"---")</f>
        <v>30</v>
      </c>
      <c r="V21" s="331">
        <f>IF('School Info'!$W$7&gt;=K21,V20,"---")</f>
        <v>43</v>
      </c>
      <c r="W21" s="327">
        <f t="shared" si="6"/>
        <v>73</v>
      </c>
      <c r="X21" s="342">
        <f>IF(U21="खुला",'School Info'!$D$13,0)</f>
        <v>0</v>
      </c>
      <c r="Y21" s="343"/>
      <c r="Z21" s="328">
        <f t="shared" si="7"/>
        <v>0</v>
      </c>
      <c r="AA21" s="343"/>
      <c r="AB21" s="343"/>
      <c r="AC21" s="329">
        <f t="shared" si="8"/>
        <v>0</v>
      </c>
      <c r="AD21" s="348"/>
      <c r="AE21" s="349"/>
      <c r="AF21" s="348"/>
      <c r="AG21" s="349"/>
      <c r="AH21" s="348"/>
      <c r="AI21" s="349"/>
      <c r="AJ21" s="348"/>
      <c r="AK21" s="349"/>
      <c r="AL21" s="618"/>
      <c r="AM21" s="618"/>
      <c r="AN21" s="618"/>
      <c r="AO21" s="619"/>
      <c r="AP21" s="550"/>
      <c r="AQ21" s="260" t="s">
        <v>158</v>
      </c>
      <c r="AR21" s="72">
        <f t="shared" si="9"/>
        <v>0</v>
      </c>
      <c r="AS21" s="72">
        <f t="shared" si="10"/>
        <v>0</v>
      </c>
      <c r="AT21" s="72">
        <f t="shared" si="11"/>
        <v>0</v>
      </c>
      <c r="AU21" s="72">
        <f t="shared" si="12"/>
        <v>0</v>
      </c>
      <c r="AV21" s="260"/>
      <c r="AW21" s="73">
        <f>AR21*'School Info'!$E$17</f>
        <v>0</v>
      </c>
      <c r="AX21" s="73">
        <f>AS21*'School Info'!$E$17</f>
        <v>0</v>
      </c>
      <c r="AY21" s="73">
        <f>AT21*'School Info'!$E$18</f>
        <v>0</v>
      </c>
      <c r="AZ21" s="73">
        <f>AU21*'School Info'!$E$18</f>
        <v>0</v>
      </c>
    </row>
    <row r="22" spans="1:52" ht="23.25" customHeight="1">
      <c r="A22" s="462"/>
      <c r="B22" s="562" t="s">
        <v>180</v>
      </c>
      <c r="C22" s="563"/>
      <c r="D22" s="564"/>
      <c r="E22" s="565" t="s">
        <v>121</v>
      </c>
      <c r="F22" s="566"/>
      <c r="G22" s="567"/>
      <c r="H22" s="572"/>
      <c r="I22" s="573"/>
      <c r="J22" s="574"/>
      <c r="K22" s="81">
        <f>IF('School Info'!$W$7&gt;0,K21+1,"--")</f>
        <v>16</v>
      </c>
      <c r="L22" s="23">
        <f>L21+1</f>
        <v>44911</v>
      </c>
      <c r="M22" s="22" t="str">
        <f t="shared" si="1"/>
        <v>Friday</v>
      </c>
      <c r="N22" s="152" t="str">
        <f t="shared" si="2"/>
        <v>खुला</v>
      </c>
      <c r="O22" s="151" t="str">
        <f t="shared" si="3"/>
        <v>Friday</v>
      </c>
      <c r="P22" s="165" t="str">
        <f t="shared" si="0"/>
        <v>रोटी - दाल</v>
      </c>
      <c r="Q22" s="324" t="str">
        <f t="shared" si="4"/>
        <v>W</v>
      </c>
      <c r="R22" s="330">
        <f>IF('School Info'!$W$7&gt;=K22,R21,"---")</f>
        <v>50</v>
      </c>
      <c r="S22" s="331">
        <f>IF('School Info'!$W$7&gt;=K22,S21,"---")</f>
        <v>215</v>
      </c>
      <c r="T22" s="331">
        <f t="shared" si="5"/>
        <v>265</v>
      </c>
      <c r="U22" s="331">
        <f>IF('School Info'!$W$7&gt;=K22,U21,"---")</f>
        <v>30</v>
      </c>
      <c r="V22" s="331">
        <f>IF('School Info'!$W$7&gt;=K22,V21,"---")</f>
        <v>43</v>
      </c>
      <c r="W22" s="327">
        <f t="shared" si="6"/>
        <v>73</v>
      </c>
      <c r="X22" s="342">
        <f>IF(U22="खुला",'School Info'!$D$13,0)</f>
        <v>0</v>
      </c>
      <c r="Y22" s="343"/>
      <c r="Z22" s="328">
        <f t="shared" si="7"/>
        <v>0</v>
      </c>
      <c r="AA22" s="343"/>
      <c r="AB22" s="343"/>
      <c r="AC22" s="329">
        <f t="shared" si="8"/>
        <v>0</v>
      </c>
      <c r="AD22" s="348"/>
      <c r="AE22" s="349"/>
      <c r="AF22" s="348"/>
      <c r="AG22" s="349"/>
      <c r="AH22" s="348"/>
      <c r="AI22" s="349"/>
      <c r="AJ22" s="348"/>
      <c r="AK22" s="349"/>
      <c r="AL22" s="618"/>
      <c r="AM22" s="618"/>
      <c r="AN22" s="618"/>
      <c r="AO22" s="619"/>
      <c r="AP22" s="550"/>
      <c r="AQ22" s="260" t="s">
        <v>159</v>
      </c>
      <c r="AR22" s="72">
        <f t="shared" si="9"/>
        <v>0</v>
      </c>
      <c r="AS22" s="72">
        <f t="shared" si="10"/>
        <v>0</v>
      </c>
      <c r="AT22" s="72">
        <f t="shared" si="11"/>
        <v>0</v>
      </c>
      <c r="AU22" s="72">
        <f t="shared" si="12"/>
        <v>0</v>
      </c>
      <c r="AV22" s="260"/>
      <c r="AW22" s="73">
        <f>AR22*'School Info'!$E$17</f>
        <v>0</v>
      </c>
      <c r="AX22" s="73">
        <f>AS22*'School Info'!$E$17</f>
        <v>0</v>
      </c>
      <c r="AY22" s="73">
        <f>AT22*'School Info'!$E$18</f>
        <v>0</v>
      </c>
      <c r="AZ22" s="73">
        <f>AU22*'School Info'!$E$18</f>
        <v>0</v>
      </c>
    </row>
    <row r="23" spans="1:52" ht="23.25" customHeight="1">
      <c r="A23" s="462"/>
      <c r="B23" s="562" t="s">
        <v>181</v>
      </c>
      <c r="C23" s="563"/>
      <c r="D23" s="564"/>
      <c r="E23" s="565" t="s">
        <v>306</v>
      </c>
      <c r="F23" s="566"/>
      <c r="G23" s="567"/>
      <c r="H23" s="578" t="s">
        <v>307</v>
      </c>
      <c r="I23" s="579"/>
      <c r="J23" s="580"/>
      <c r="K23" s="81">
        <f>IF('School Info'!$W$7&gt;0,K22+1,"--")</f>
        <v>17</v>
      </c>
      <c r="L23" s="23">
        <f t="shared" si="13"/>
        <v>44912</v>
      </c>
      <c r="M23" s="22" t="str">
        <f t="shared" si="1"/>
        <v>Saturday</v>
      </c>
      <c r="N23" s="152" t="str">
        <f t="shared" si="2"/>
        <v>खुला</v>
      </c>
      <c r="O23" s="151" t="str">
        <f t="shared" si="3"/>
        <v>Saturday</v>
      </c>
      <c r="P23" s="165" t="str">
        <f t="shared" si="0"/>
        <v>रोटी - सब्जी</v>
      </c>
      <c r="Q23" s="324" t="str">
        <f t="shared" si="4"/>
        <v>W</v>
      </c>
      <c r="R23" s="330">
        <f>IF('School Info'!$W$7&gt;=K23,R22,"---")</f>
        <v>50</v>
      </c>
      <c r="S23" s="331">
        <f>IF('School Info'!$W$7&gt;=K23,S22,"---")</f>
        <v>215</v>
      </c>
      <c r="T23" s="331">
        <f t="shared" si="5"/>
        <v>265</v>
      </c>
      <c r="U23" s="331">
        <f>IF('School Info'!$W$7&gt;=K23,U22,"---")</f>
        <v>30</v>
      </c>
      <c r="V23" s="331">
        <f>IF('School Info'!$W$7&gt;=K23,V22,"---")</f>
        <v>43</v>
      </c>
      <c r="W23" s="327">
        <f t="shared" si="6"/>
        <v>73</v>
      </c>
      <c r="X23" s="342">
        <f>IF(U23="खुला",'School Info'!$D$13,0)</f>
        <v>0</v>
      </c>
      <c r="Y23" s="343"/>
      <c r="Z23" s="328">
        <f t="shared" si="7"/>
        <v>0</v>
      </c>
      <c r="AA23" s="343"/>
      <c r="AB23" s="343"/>
      <c r="AC23" s="329">
        <f t="shared" si="8"/>
        <v>0</v>
      </c>
      <c r="AD23" s="348"/>
      <c r="AE23" s="349"/>
      <c r="AF23" s="348"/>
      <c r="AG23" s="349"/>
      <c r="AH23" s="348"/>
      <c r="AI23" s="349"/>
      <c r="AJ23" s="348"/>
      <c r="AK23" s="349"/>
      <c r="AL23" s="618"/>
      <c r="AM23" s="618"/>
      <c r="AN23" s="618"/>
      <c r="AO23" s="619"/>
      <c r="AP23" s="550"/>
      <c r="AQ23" s="260" t="s">
        <v>160</v>
      </c>
      <c r="AR23" s="72">
        <f t="shared" si="9"/>
        <v>0</v>
      </c>
      <c r="AS23" s="72">
        <f t="shared" si="10"/>
        <v>0</v>
      </c>
      <c r="AT23" s="72">
        <f t="shared" si="11"/>
        <v>0</v>
      </c>
      <c r="AU23" s="72">
        <f t="shared" si="12"/>
        <v>0</v>
      </c>
      <c r="AV23" s="260"/>
      <c r="AW23" s="73">
        <f>AR23*'School Info'!$E$17</f>
        <v>0</v>
      </c>
      <c r="AX23" s="73">
        <f>AS23*'School Info'!$E$17</f>
        <v>0</v>
      </c>
      <c r="AY23" s="73">
        <f>AT23*'School Info'!$E$18</f>
        <v>0</v>
      </c>
      <c r="AZ23" s="73">
        <f>AU23*'School Info'!$E$18</f>
        <v>0</v>
      </c>
    </row>
    <row r="24" spans="1:52" ht="23.25" customHeight="1">
      <c r="A24" s="462"/>
      <c r="B24" s="562" t="s">
        <v>182</v>
      </c>
      <c r="C24" s="563"/>
      <c r="D24" s="564"/>
      <c r="E24" s="565" t="s">
        <v>121</v>
      </c>
      <c r="F24" s="566"/>
      <c r="G24" s="567"/>
      <c r="H24" s="572" t="s">
        <v>120</v>
      </c>
      <c r="I24" s="573"/>
      <c r="J24" s="574"/>
      <c r="K24" s="81">
        <f>IF('School Info'!$W$7&gt;0,K23+1,"--")</f>
        <v>18</v>
      </c>
      <c r="L24" s="23">
        <f t="shared" si="13"/>
        <v>44913</v>
      </c>
      <c r="M24" s="22" t="str">
        <f t="shared" si="1"/>
        <v>Sunday</v>
      </c>
      <c r="N24" s="152" t="str">
        <f t="shared" si="2"/>
        <v>रवि॰अव॰</v>
      </c>
      <c r="O24" s="151" t="str">
        <f t="shared" si="3"/>
        <v>Holiday</v>
      </c>
      <c r="P24" s="165" t="str">
        <f t="shared" si="0"/>
        <v>---</v>
      </c>
      <c r="Q24" s="324" t="str">
        <f t="shared" si="4"/>
        <v>---</v>
      </c>
      <c r="R24" s="330">
        <f>IF('School Info'!$W$7&gt;=K24,R23,"---")</f>
        <v>50</v>
      </c>
      <c r="S24" s="331">
        <f>IF('School Info'!$W$7&gt;=K24,S23,"---")</f>
        <v>215</v>
      </c>
      <c r="T24" s="331">
        <f t="shared" si="5"/>
        <v>265</v>
      </c>
      <c r="U24" s="331">
        <f>IF('School Info'!$W$7&gt;=K24,U23,"---")</f>
        <v>30</v>
      </c>
      <c r="V24" s="331">
        <f>IF('School Info'!$W$7&gt;=K24,V23,"---")</f>
        <v>43</v>
      </c>
      <c r="W24" s="327">
        <f t="shared" si="6"/>
        <v>73</v>
      </c>
      <c r="X24" s="342">
        <f>IF(U24="खुला",'School Info'!$D$13,0)</f>
        <v>0</v>
      </c>
      <c r="Y24" s="343"/>
      <c r="Z24" s="328">
        <f t="shared" si="7"/>
        <v>0</v>
      </c>
      <c r="AA24" s="343"/>
      <c r="AB24" s="343"/>
      <c r="AC24" s="329">
        <f t="shared" si="8"/>
        <v>0</v>
      </c>
      <c r="AD24" s="348"/>
      <c r="AE24" s="349"/>
      <c r="AF24" s="348"/>
      <c r="AG24" s="349"/>
      <c r="AH24" s="348"/>
      <c r="AI24" s="349"/>
      <c r="AJ24" s="348"/>
      <c r="AK24" s="349"/>
      <c r="AL24" s="618"/>
      <c r="AM24" s="618"/>
      <c r="AN24" s="618"/>
      <c r="AO24" s="619"/>
      <c r="AP24" s="550"/>
      <c r="AQ24" s="260" t="s">
        <v>162</v>
      </c>
      <c r="AR24" s="72">
        <f t="shared" si="9"/>
        <v>0</v>
      </c>
      <c r="AS24" s="72">
        <f t="shared" si="10"/>
        <v>0</v>
      </c>
      <c r="AT24" s="72">
        <f t="shared" si="11"/>
        <v>0</v>
      </c>
      <c r="AU24" s="72">
        <f t="shared" si="12"/>
        <v>0</v>
      </c>
      <c r="AV24" s="260"/>
      <c r="AW24" s="73">
        <f>AR24*'School Info'!$E$17</f>
        <v>0</v>
      </c>
      <c r="AX24" s="73">
        <f>AS24*'School Info'!$E$17</f>
        <v>0</v>
      </c>
      <c r="AY24" s="73">
        <f>AT24*'School Info'!$E$18</f>
        <v>0</v>
      </c>
      <c r="AZ24" s="73">
        <f>AU24*'School Info'!$E$18</f>
        <v>0</v>
      </c>
    </row>
    <row r="25" spans="1:52" ht="23.25" customHeight="1" thickBot="1">
      <c r="A25" s="462"/>
      <c r="B25" s="535" t="s">
        <v>183</v>
      </c>
      <c r="C25" s="536"/>
      <c r="D25" s="537"/>
      <c r="E25" s="538" t="s">
        <v>119</v>
      </c>
      <c r="F25" s="539"/>
      <c r="G25" s="540"/>
      <c r="H25" s="541"/>
      <c r="I25" s="542"/>
      <c r="J25" s="543"/>
      <c r="K25" s="81">
        <f>IF('School Info'!$W$7&gt;0,K24+1,"--")</f>
        <v>19</v>
      </c>
      <c r="L25" s="23">
        <f t="shared" si="13"/>
        <v>44914</v>
      </c>
      <c r="M25" s="22" t="str">
        <f t="shared" si="1"/>
        <v>Monday</v>
      </c>
      <c r="N25" s="152" t="str">
        <f t="shared" si="2"/>
        <v>खुला</v>
      </c>
      <c r="O25" s="151" t="str">
        <f t="shared" si="3"/>
        <v>Monday</v>
      </c>
      <c r="P25" s="165" t="str">
        <f t="shared" si="0"/>
        <v>रोटी - सब्जी</v>
      </c>
      <c r="Q25" s="324" t="str">
        <f t="shared" si="4"/>
        <v>W</v>
      </c>
      <c r="R25" s="330">
        <f>IF('School Info'!$W$7&gt;=K25,R24,"---")</f>
        <v>50</v>
      </c>
      <c r="S25" s="331">
        <f>IF('School Info'!$W$7&gt;=K25,S24,"---")</f>
        <v>215</v>
      </c>
      <c r="T25" s="331">
        <f t="shared" si="5"/>
        <v>265</v>
      </c>
      <c r="U25" s="331">
        <f>IF('School Info'!$W$7&gt;=K25,U24,"---")</f>
        <v>30</v>
      </c>
      <c r="V25" s="331">
        <f>IF('School Info'!$W$7&gt;=K25,V24,"---")</f>
        <v>43</v>
      </c>
      <c r="W25" s="327">
        <f t="shared" si="6"/>
        <v>73</v>
      </c>
      <c r="X25" s="342">
        <f>IF(U25="खुला",'School Info'!$D$13,0)</f>
        <v>0</v>
      </c>
      <c r="Y25" s="343"/>
      <c r="Z25" s="328">
        <f t="shared" si="7"/>
        <v>0</v>
      </c>
      <c r="AA25" s="343"/>
      <c r="AB25" s="343"/>
      <c r="AC25" s="329">
        <f t="shared" si="8"/>
        <v>0</v>
      </c>
      <c r="AD25" s="348"/>
      <c r="AE25" s="349"/>
      <c r="AF25" s="348"/>
      <c r="AG25" s="349"/>
      <c r="AH25" s="348"/>
      <c r="AI25" s="349"/>
      <c r="AJ25" s="348"/>
      <c r="AK25" s="349"/>
      <c r="AL25" s="618"/>
      <c r="AM25" s="618"/>
      <c r="AN25" s="618"/>
      <c r="AO25" s="619"/>
      <c r="AP25" s="550"/>
      <c r="AQ25" s="260" t="s">
        <v>161</v>
      </c>
      <c r="AR25" s="72">
        <f t="shared" si="9"/>
        <v>0</v>
      </c>
      <c r="AS25" s="72">
        <f t="shared" si="10"/>
        <v>0</v>
      </c>
      <c r="AT25" s="72">
        <f t="shared" si="11"/>
        <v>0</v>
      </c>
      <c r="AU25" s="72">
        <f t="shared" si="12"/>
        <v>0</v>
      </c>
      <c r="AV25" s="260"/>
      <c r="AW25" s="73">
        <f>AR25*'School Info'!$E$17</f>
        <v>0</v>
      </c>
      <c r="AX25" s="73">
        <f>AS25*'School Info'!$E$17</f>
        <v>0</v>
      </c>
      <c r="AY25" s="73">
        <f>AT25*'School Info'!$E$18</f>
        <v>0</v>
      </c>
      <c r="AZ25" s="73">
        <f>AU25*'School Info'!$E$18</f>
        <v>0</v>
      </c>
    </row>
    <row r="26" spans="1:52" ht="23.25" customHeight="1" thickBot="1">
      <c r="A26" s="462"/>
      <c r="B26" s="530" t="s">
        <v>244</v>
      </c>
      <c r="C26" s="527"/>
      <c r="D26" s="527"/>
      <c r="E26" s="531" t="s">
        <v>184</v>
      </c>
      <c r="F26" s="527"/>
      <c r="G26" s="527"/>
      <c r="H26" s="532"/>
      <c r="I26" s="532"/>
      <c r="J26" s="532"/>
      <c r="K26" s="81">
        <f>IF('School Info'!$W$7&gt;0,K25+1,"--")</f>
        <v>20</v>
      </c>
      <c r="L26" s="23">
        <f t="shared" si="13"/>
        <v>44915</v>
      </c>
      <c r="M26" s="22" t="str">
        <f t="shared" si="1"/>
        <v>Tuesday</v>
      </c>
      <c r="N26" s="152" t="str">
        <f t="shared" si="2"/>
        <v>खुला</v>
      </c>
      <c r="O26" s="151" t="str">
        <f t="shared" si="3"/>
        <v>Tuesday</v>
      </c>
      <c r="P26" s="165" t="str">
        <f t="shared" si="0"/>
        <v>चावल एवं दाल/सब्जी</v>
      </c>
      <c r="Q26" s="324" t="str">
        <f t="shared" si="4"/>
        <v>R</v>
      </c>
      <c r="R26" s="330">
        <f>IF('School Info'!$W$7&gt;=K26,R25,"---")</f>
        <v>50</v>
      </c>
      <c r="S26" s="331">
        <f>IF('School Info'!$W$7&gt;=K26,S25,"---")</f>
        <v>215</v>
      </c>
      <c r="T26" s="331">
        <f t="shared" si="5"/>
        <v>265</v>
      </c>
      <c r="U26" s="331">
        <f>IF('School Info'!$W$7&gt;=K26,U25,"---")</f>
        <v>30</v>
      </c>
      <c r="V26" s="331">
        <f>IF('School Info'!$W$7&gt;=K26,V25,"---")</f>
        <v>43</v>
      </c>
      <c r="W26" s="327">
        <f t="shared" si="6"/>
        <v>73</v>
      </c>
      <c r="X26" s="342">
        <f>IF(U26="खुला",'School Info'!$D$13,0)</f>
        <v>0</v>
      </c>
      <c r="Y26" s="343"/>
      <c r="Z26" s="328">
        <f t="shared" si="7"/>
        <v>0</v>
      </c>
      <c r="AA26" s="343"/>
      <c r="AB26" s="343"/>
      <c r="AC26" s="329">
        <f t="shared" si="8"/>
        <v>0</v>
      </c>
      <c r="AD26" s="348"/>
      <c r="AE26" s="349"/>
      <c r="AF26" s="348"/>
      <c r="AG26" s="349"/>
      <c r="AH26" s="348"/>
      <c r="AI26" s="349"/>
      <c r="AJ26" s="348"/>
      <c r="AK26" s="349"/>
      <c r="AL26" s="618"/>
      <c r="AM26" s="618"/>
      <c r="AN26" s="618"/>
      <c r="AO26" s="619"/>
      <c r="AP26" s="550"/>
      <c r="AQ26" s="260" t="s">
        <v>163</v>
      </c>
      <c r="AR26" s="72">
        <f t="shared" si="9"/>
        <v>0</v>
      </c>
      <c r="AS26" s="72">
        <f t="shared" si="10"/>
        <v>0</v>
      </c>
      <c r="AT26" s="72">
        <f t="shared" si="11"/>
        <v>0</v>
      </c>
      <c r="AU26" s="72">
        <f t="shared" si="12"/>
        <v>0</v>
      </c>
      <c r="AV26" s="260"/>
      <c r="AW26" s="73">
        <f>AR26*'School Info'!$E$17</f>
        <v>0</v>
      </c>
      <c r="AX26" s="73">
        <f>AS26*'School Info'!$E$17</f>
        <v>0</v>
      </c>
      <c r="AY26" s="73">
        <f>AT26*'School Info'!$E$18</f>
        <v>0</v>
      </c>
      <c r="AZ26" s="73">
        <f>AU26*'School Info'!$E$18</f>
        <v>0</v>
      </c>
    </row>
    <row r="27" spans="1:52" ht="23.25" customHeight="1">
      <c r="A27" s="462"/>
      <c r="B27" s="526" t="s">
        <v>184</v>
      </c>
      <c r="C27" s="527"/>
      <c r="D27" s="527"/>
      <c r="E27" s="531" t="s">
        <v>305</v>
      </c>
      <c r="F27" s="527"/>
      <c r="G27" s="527"/>
      <c r="H27" s="532"/>
      <c r="I27" s="532"/>
      <c r="J27" s="532"/>
      <c r="K27" s="81">
        <f>IF('School Info'!$W$7&gt;0,K26+1,"--")</f>
        <v>21</v>
      </c>
      <c r="L27" s="23">
        <f t="shared" si="13"/>
        <v>44916</v>
      </c>
      <c r="M27" s="22" t="str">
        <f t="shared" si="1"/>
        <v>Wednesday</v>
      </c>
      <c r="N27" s="152" t="str">
        <f t="shared" si="2"/>
        <v>खुला</v>
      </c>
      <c r="O27" s="151" t="str">
        <f t="shared" si="3"/>
        <v>Wednesday</v>
      </c>
      <c r="P27" s="165" t="str">
        <f t="shared" si="0"/>
        <v>रोटी - दाल</v>
      </c>
      <c r="Q27" s="324" t="str">
        <f t="shared" si="4"/>
        <v>W</v>
      </c>
      <c r="R27" s="330">
        <f>IF('School Info'!$W$7&gt;=K27,R26,"---")</f>
        <v>50</v>
      </c>
      <c r="S27" s="331">
        <f>IF('School Info'!$W$7&gt;=K27,S26,"---")</f>
        <v>215</v>
      </c>
      <c r="T27" s="331">
        <f t="shared" si="5"/>
        <v>265</v>
      </c>
      <c r="U27" s="331">
        <f>IF('School Info'!$W$7&gt;=K27,U26,"---")</f>
        <v>30</v>
      </c>
      <c r="V27" s="331">
        <f>IF('School Info'!$W$7&gt;=K27,V26,"---")</f>
        <v>43</v>
      </c>
      <c r="W27" s="327">
        <f t="shared" si="6"/>
        <v>73</v>
      </c>
      <c r="X27" s="342">
        <f>IF(U27="खुला",'School Info'!$D$13,0)</f>
        <v>0</v>
      </c>
      <c r="Y27" s="343"/>
      <c r="Z27" s="328">
        <f t="shared" si="7"/>
        <v>0</v>
      </c>
      <c r="AA27" s="343"/>
      <c r="AB27" s="343"/>
      <c r="AC27" s="329">
        <f t="shared" si="8"/>
        <v>0</v>
      </c>
      <c r="AD27" s="348"/>
      <c r="AE27" s="349"/>
      <c r="AF27" s="348"/>
      <c r="AG27" s="349"/>
      <c r="AH27" s="348"/>
      <c r="AI27" s="349"/>
      <c r="AJ27" s="348"/>
      <c r="AK27" s="349"/>
      <c r="AL27" s="618"/>
      <c r="AM27" s="618"/>
      <c r="AN27" s="618"/>
      <c r="AO27" s="619"/>
      <c r="AP27" s="550"/>
      <c r="AQ27" s="260" t="s">
        <v>164</v>
      </c>
      <c r="AR27" s="72">
        <f t="shared" si="9"/>
        <v>0</v>
      </c>
      <c r="AS27" s="72">
        <f t="shared" si="10"/>
        <v>0</v>
      </c>
      <c r="AT27" s="72">
        <f t="shared" si="11"/>
        <v>0</v>
      </c>
      <c r="AU27" s="72">
        <f t="shared" si="12"/>
        <v>0</v>
      </c>
      <c r="AV27" s="260"/>
      <c r="AW27" s="73">
        <f>AR27*'School Info'!$E$17</f>
        <v>0</v>
      </c>
      <c r="AX27" s="73">
        <f>AS27*'School Info'!$E$17</f>
        <v>0</v>
      </c>
      <c r="AY27" s="73">
        <f>AT27*'School Info'!$E$18</f>
        <v>0</v>
      </c>
      <c r="AZ27" s="73">
        <f>AU27*'School Info'!$E$18</f>
        <v>0</v>
      </c>
    </row>
    <row r="28" spans="1:52" ht="23.25" customHeight="1">
      <c r="A28" s="462"/>
      <c r="B28" s="109"/>
      <c r="C28" s="79"/>
      <c r="D28" s="79"/>
      <c r="E28" s="79"/>
      <c r="F28" s="79"/>
      <c r="G28" s="79"/>
      <c r="H28" s="79"/>
      <c r="I28" s="79"/>
      <c r="J28" s="79"/>
      <c r="K28" s="81">
        <f>IF('School Info'!$W$7&gt;21,K27+1,"--")</f>
        <v>22</v>
      </c>
      <c r="L28" s="23">
        <f t="shared" si="13"/>
        <v>44917</v>
      </c>
      <c r="M28" s="22" t="str">
        <f t="shared" si="1"/>
        <v>Thursday</v>
      </c>
      <c r="N28" s="152" t="str">
        <f t="shared" si="2"/>
        <v>खुला</v>
      </c>
      <c r="O28" s="151" t="str">
        <f t="shared" si="3"/>
        <v>Thursday</v>
      </c>
      <c r="P28" s="165" t="str">
        <f t="shared" si="0"/>
        <v>खिचडी</v>
      </c>
      <c r="Q28" s="324" t="str">
        <f t="shared" si="4"/>
        <v>R</v>
      </c>
      <c r="R28" s="330">
        <f>IF('School Info'!$W$7&gt;=K28,R27,"---")</f>
        <v>50</v>
      </c>
      <c r="S28" s="331">
        <f>IF('School Info'!$W$7&gt;=K28,S27,"---")</f>
        <v>215</v>
      </c>
      <c r="T28" s="331">
        <f t="shared" si="5"/>
        <v>265</v>
      </c>
      <c r="U28" s="331">
        <f>IF('School Info'!$W$7&gt;=K28,U27,"---")</f>
        <v>30</v>
      </c>
      <c r="V28" s="331">
        <f>IF('School Info'!$W$7&gt;=K28,V27,"---")</f>
        <v>43</v>
      </c>
      <c r="W28" s="327">
        <f t="shared" si="6"/>
        <v>73</v>
      </c>
      <c r="X28" s="342">
        <f>IF(U28="खुला",'School Info'!$D$13,0)</f>
        <v>0</v>
      </c>
      <c r="Y28" s="343"/>
      <c r="Z28" s="328">
        <f t="shared" si="7"/>
        <v>0</v>
      </c>
      <c r="AA28" s="343"/>
      <c r="AB28" s="343"/>
      <c r="AC28" s="329">
        <f t="shared" si="8"/>
        <v>0</v>
      </c>
      <c r="AD28" s="348"/>
      <c r="AE28" s="349"/>
      <c r="AF28" s="348"/>
      <c r="AG28" s="349"/>
      <c r="AH28" s="348"/>
      <c r="AI28" s="349"/>
      <c r="AJ28" s="348"/>
      <c r="AK28" s="349"/>
      <c r="AL28" s="618"/>
      <c r="AM28" s="618"/>
      <c r="AN28" s="618"/>
      <c r="AO28" s="619"/>
      <c r="AP28" s="550"/>
      <c r="AQ28" s="260" t="s">
        <v>165</v>
      </c>
      <c r="AR28" s="72">
        <f t="shared" si="9"/>
        <v>0</v>
      </c>
      <c r="AS28" s="72">
        <f t="shared" si="10"/>
        <v>0</v>
      </c>
      <c r="AT28" s="72">
        <f t="shared" si="11"/>
        <v>0</v>
      </c>
      <c r="AU28" s="72">
        <f t="shared" si="12"/>
        <v>0</v>
      </c>
      <c r="AV28" s="260"/>
      <c r="AW28" s="73">
        <f>AR28*'School Info'!$E$17</f>
        <v>0</v>
      </c>
      <c r="AX28" s="73">
        <f>AS28*'School Info'!$E$17</f>
        <v>0</v>
      </c>
      <c r="AY28" s="73">
        <f>AT28*'School Info'!$E$18</f>
        <v>0</v>
      </c>
      <c r="AZ28" s="73">
        <f>AU28*'School Info'!$E$18</f>
        <v>0</v>
      </c>
    </row>
    <row r="29" spans="1:52" ht="23.25" customHeight="1">
      <c r="A29" s="462"/>
      <c r="B29" s="109"/>
      <c r="C29" s="79"/>
      <c r="D29" s="79"/>
      <c r="E29" s="79"/>
      <c r="F29" s="79"/>
      <c r="G29" s="79"/>
      <c r="H29" s="79"/>
      <c r="I29" s="79"/>
      <c r="J29" s="79"/>
      <c r="K29" s="81">
        <f>IF('School Info'!$W$7&gt;22,K28+1,"--")</f>
        <v>23</v>
      </c>
      <c r="L29" s="23">
        <f t="shared" si="13"/>
        <v>44918</v>
      </c>
      <c r="M29" s="22" t="str">
        <f t="shared" si="1"/>
        <v>Friday</v>
      </c>
      <c r="N29" s="152" t="str">
        <f t="shared" si="2"/>
        <v>खुला</v>
      </c>
      <c r="O29" s="151" t="str">
        <f t="shared" si="3"/>
        <v>Friday</v>
      </c>
      <c r="P29" s="165" t="str">
        <f t="shared" si="0"/>
        <v>रोटी - दाल</v>
      </c>
      <c r="Q29" s="324" t="str">
        <f t="shared" si="4"/>
        <v>W</v>
      </c>
      <c r="R29" s="330">
        <f>IF('School Info'!$W$7&gt;=K29,R28,"---")</f>
        <v>50</v>
      </c>
      <c r="S29" s="331">
        <f>IF('School Info'!$W$7&gt;=K29,S28,"---")</f>
        <v>215</v>
      </c>
      <c r="T29" s="331">
        <f t="shared" si="5"/>
        <v>265</v>
      </c>
      <c r="U29" s="331">
        <f>IF('School Info'!$W$7&gt;=K29,U28,"---")</f>
        <v>30</v>
      </c>
      <c r="V29" s="331">
        <f>IF('School Info'!$W$7&gt;=K29,V28,"---")</f>
        <v>43</v>
      </c>
      <c r="W29" s="327">
        <f t="shared" si="6"/>
        <v>73</v>
      </c>
      <c r="X29" s="342">
        <f>IF(U29="खुला",'School Info'!$D$13,0)</f>
        <v>0</v>
      </c>
      <c r="Y29" s="343"/>
      <c r="Z29" s="328">
        <f t="shared" si="7"/>
        <v>0</v>
      </c>
      <c r="AA29" s="343"/>
      <c r="AB29" s="343"/>
      <c r="AC29" s="329">
        <f t="shared" si="8"/>
        <v>0</v>
      </c>
      <c r="AD29" s="348"/>
      <c r="AE29" s="349"/>
      <c r="AF29" s="348"/>
      <c r="AG29" s="349"/>
      <c r="AH29" s="348"/>
      <c r="AI29" s="349"/>
      <c r="AJ29" s="348"/>
      <c r="AK29" s="349"/>
      <c r="AL29" s="618"/>
      <c r="AM29" s="618"/>
      <c r="AN29" s="618"/>
      <c r="AO29" s="619"/>
      <c r="AP29" s="550"/>
      <c r="AQ29" s="260" t="s">
        <v>166</v>
      </c>
      <c r="AR29" s="72">
        <f t="shared" si="9"/>
        <v>0</v>
      </c>
      <c r="AS29" s="72">
        <f t="shared" si="10"/>
        <v>0</v>
      </c>
      <c r="AT29" s="72">
        <f t="shared" si="11"/>
        <v>0</v>
      </c>
      <c r="AU29" s="72">
        <f t="shared" si="12"/>
        <v>0</v>
      </c>
      <c r="AV29" s="260"/>
      <c r="AW29" s="73">
        <f>AR29*'School Info'!$E$17</f>
        <v>0</v>
      </c>
      <c r="AX29" s="73">
        <f>AS29*'School Info'!$E$17</f>
        <v>0</v>
      </c>
      <c r="AY29" s="73">
        <f>AT29*'School Info'!$E$18</f>
        <v>0</v>
      </c>
      <c r="AZ29" s="73">
        <f>AU29*'School Info'!$E$18</f>
        <v>0</v>
      </c>
    </row>
    <row r="30" spans="1:52" ht="23.25" customHeight="1">
      <c r="A30" s="462"/>
      <c r="B30" s="109"/>
      <c r="C30" s="79"/>
      <c r="D30" s="79"/>
      <c r="E30" s="79"/>
      <c r="F30" s="79"/>
      <c r="G30" s="79"/>
      <c r="H30" s="79"/>
      <c r="I30" s="79"/>
      <c r="J30" s="79"/>
      <c r="K30" s="81">
        <f>IF('School Info'!$W$7&gt;23,K29+1,"--")</f>
        <v>24</v>
      </c>
      <c r="L30" s="23">
        <f>L29+1</f>
        <v>44919</v>
      </c>
      <c r="M30" s="22" t="str">
        <f t="shared" si="1"/>
        <v>Saturday</v>
      </c>
      <c r="N30" s="152" t="str">
        <f t="shared" si="2"/>
        <v>खुला</v>
      </c>
      <c r="O30" s="151" t="str">
        <f t="shared" si="3"/>
        <v>Saturday</v>
      </c>
      <c r="P30" s="165" t="str">
        <f t="shared" si="0"/>
        <v>रोटी - सब्जी</v>
      </c>
      <c r="Q30" s="324" t="str">
        <f t="shared" si="4"/>
        <v>W</v>
      </c>
      <c r="R30" s="330">
        <f>IF('School Info'!$W$7&gt;=K30,R29,"---")</f>
        <v>50</v>
      </c>
      <c r="S30" s="331">
        <f>IF('School Info'!$W$7&gt;=K30,S29,"---")</f>
        <v>215</v>
      </c>
      <c r="T30" s="331">
        <f t="shared" si="5"/>
        <v>265</v>
      </c>
      <c r="U30" s="331">
        <f>IF('School Info'!$W$7&gt;=K30,U29,"---")</f>
        <v>30</v>
      </c>
      <c r="V30" s="331">
        <f>IF('School Info'!$W$7&gt;=K30,V29,"---")</f>
        <v>43</v>
      </c>
      <c r="W30" s="327">
        <f t="shared" si="6"/>
        <v>73</v>
      </c>
      <c r="X30" s="342">
        <f>IF(U30="खुला",'School Info'!$D$13,0)</f>
        <v>0</v>
      </c>
      <c r="Y30" s="343"/>
      <c r="Z30" s="328">
        <f t="shared" si="7"/>
        <v>0</v>
      </c>
      <c r="AA30" s="343"/>
      <c r="AB30" s="343"/>
      <c r="AC30" s="329">
        <f t="shared" si="8"/>
        <v>0</v>
      </c>
      <c r="AD30" s="348"/>
      <c r="AE30" s="349"/>
      <c r="AF30" s="348"/>
      <c r="AG30" s="349"/>
      <c r="AH30" s="348"/>
      <c r="AI30" s="349"/>
      <c r="AJ30" s="348"/>
      <c r="AK30" s="349"/>
      <c r="AL30" s="618"/>
      <c r="AM30" s="618"/>
      <c r="AN30" s="618"/>
      <c r="AO30" s="619"/>
      <c r="AP30" s="550"/>
      <c r="AQ30" s="260" t="s">
        <v>167</v>
      </c>
      <c r="AR30" s="72">
        <f t="shared" si="9"/>
        <v>0</v>
      </c>
      <c r="AS30" s="72">
        <f t="shared" si="10"/>
        <v>0</v>
      </c>
      <c r="AT30" s="72">
        <f t="shared" si="11"/>
        <v>0</v>
      </c>
      <c r="AU30" s="72">
        <f t="shared" si="12"/>
        <v>0</v>
      </c>
      <c r="AV30" s="260"/>
      <c r="AW30" s="73">
        <f>AR30*'School Info'!$E$17</f>
        <v>0</v>
      </c>
      <c r="AX30" s="73">
        <f>AS30*'School Info'!$E$17</f>
        <v>0</v>
      </c>
      <c r="AY30" s="73">
        <f>AT30*'School Info'!$E$18</f>
        <v>0</v>
      </c>
      <c r="AZ30" s="73">
        <f>AU30*'School Info'!$E$18</f>
        <v>0</v>
      </c>
    </row>
    <row r="31" spans="1:52" ht="23.25" customHeight="1">
      <c r="A31" s="462"/>
      <c r="B31" s="109"/>
      <c r="C31" s="79"/>
      <c r="D31" s="79"/>
      <c r="E31" s="79"/>
      <c r="F31" s="79"/>
      <c r="G31" s="79"/>
      <c r="H31" s="79"/>
      <c r="I31" s="79"/>
      <c r="J31" s="79"/>
      <c r="K31" s="81">
        <f>IF('School Info'!$W$7&gt;24,K30+1,"--")</f>
        <v>25</v>
      </c>
      <c r="L31" s="23">
        <f t="shared" si="13"/>
        <v>44920</v>
      </c>
      <c r="M31" s="22" t="str">
        <f t="shared" si="1"/>
        <v>Sunday</v>
      </c>
      <c r="N31" s="152" t="str">
        <f t="shared" si="2"/>
        <v>रवि॰अव॰</v>
      </c>
      <c r="O31" s="151" t="str">
        <f t="shared" si="3"/>
        <v>Holiday</v>
      </c>
      <c r="P31" s="165" t="str">
        <f t="shared" si="0"/>
        <v>---</v>
      </c>
      <c r="Q31" s="324" t="str">
        <f t="shared" si="4"/>
        <v>---</v>
      </c>
      <c r="R31" s="330">
        <f>IF('School Info'!$W$7&gt;=K31,R30,"---")</f>
        <v>50</v>
      </c>
      <c r="S31" s="331">
        <f>IF('School Info'!$W$7&gt;=K31,S30,"---")</f>
        <v>215</v>
      </c>
      <c r="T31" s="331">
        <f t="shared" si="5"/>
        <v>265</v>
      </c>
      <c r="U31" s="331">
        <f>IF('School Info'!$W$7&gt;=K31,U30,"---")</f>
        <v>30</v>
      </c>
      <c r="V31" s="331">
        <f>IF('School Info'!$W$7&gt;=K31,V30,"---")</f>
        <v>43</v>
      </c>
      <c r="W31" s="327">
        <f t="shared" si="6"/>
        <v>73</v>
      </c>
      <c r="X31" s="342">
        <f>IF(U31="खुला",'School Info'!$D$13,0)</f>
        <v>0</v>
      </c>
      <c r="Y31" s="343"/>
      <c r="Z31" s="328">
        <f t="shared" si="7"/>
        <v>0</v>
      </c>
      <c r="AA31" s="343"/>
      <c r="AB31" s="343"/>
      <c r="AC31" s="329">
        <f t="shared" si="8"/>
        <v>0</v>
      </c>
      <c r="AD31" s="348"/>
      <c r="AE31" s="349"/>
      <c r="AF31" s="348"/>
      <c r="AG31" s="349"/>
      <c r="AH31" s="348"/>
      <c r="AI31" s="349"/>
      <c r="AJ31" s="348"/>
      <c r="AK31" s="349"/>
      <c r="AL31" s="618"/>
      <c r="AM31" s="618"/>
      <c r="AN31" s="618"/>
      <c r="AO31" s="619"/>
      <c r="AP31" s="550"/>
      <c r="AQ31" s="260" t="s">
        <v>168</v>
      </c>
      <c r="AR31" s="72">
        <f t="shared" si="9"/>
        <v>0</v>
      </c>
      <c r="AS31" s="72">
        <f t="shared" si="10"/>
        <v>0</v>
      </c>
      <c r="AT31" s="72">
        <f t="shared" si="11"/>
        <v>0</v>
      </c>
      <c r="AU31" s="72">
        <f t="shared" si="12"/>
        <v>0</v>
      </c>
      <c r="AV31" s="260"/>
      <c r="AW31" s="73">
        <f>AR31*'School Info'!$E$17</f>
        <v>0</v>
      </c>
      <c r="AX31" s="73">
        <f>AS31*'School Info'!$E$17</f>
        <v>0</v>
      </c>
      <c r="AY31" s="73">
        <f>AT31*'School Info'!$E$18</f>
        <v>0</v>
      </c>
      <c r="AZ31" s="73">
        <f>AU31*'School Info'!$E$18</f>
        <v>0</v>
      </c>
    </row>
    <row r="32" spans="1:52" ht="23.25" customHeight="1">
      <c r="A32" s="462"/>
      <c r="B32" s="109"/>
      <c r="C32" s="79"/>
      <c r="D32" s="79"/>
      <c r="E32" s="79"/>
      <c r="F32" s="79"/>
      <c r="G32" s="79"/>
      <c r="H32" s="79"/>
      <c r="I32" s="79"/>
      <c r="J32" s="79"/>
      <c r="K32" s="81">
        <f>IF('School Info'!$W$7&gt;25,K31+1,"--")</f>
        <v>26</v>
      </c>
      <c r="L32" s="23">
        <f t="shared" si="13"/>
        <v>44921</v>
      </c>
      <c r="M32" s="22" t="str">
        <f t="shared" si="1"/>
        <v>Monday</v>
      </c>
      <c r="N32" s="152" t="str">
        <f t="shared" si="2"/>
        <v>खुला</v>
      </c>
      <c r="O32" s="151" t="str">
        <f t="shared" si="3"/>
        <v>Monday</v>
      </c>
      <c r="P32" s="165" t="str">
        <f t="shared" si="0"/>
        <v>रोटी - सब्जी</v>
      </c>
      <c r="Q32" s="324" t="str">
        <f t="shared" si="4"/>
        <v>W</v>
      </c>
      <c r="R32" s="330">
        <f>IF('School Info'!$W$7&gt;=K32,R31,"---")</f>
        <v>50</v>
      </c>
      <c r="S32" s="331">
        <f>IF('School Info'!$W$7&gt;=K32,S31,"---")</f>
        <v>215</v>
      </c>
      <c r="T32" s="331">
        <f t="shared" si="5"/>
        <v>265</v>
      </c>
      <c r="U32" s="331">
        <f>IF('School Info'!$W$7&gt;=K32,U31,"---")</f>
        <v>30</v>
      </c>
      <c r="V32" s="331">
        <f>IF('School Info'!$W$7&gt;=K32,V31,"---")</f>
        <v>43</v>
      </c>
      <c r="W32" s="327">
        <f t="shared" si="6"/>
        <v>73</v>
      </c>
      <c r="X32" s="342">
        <f>IF(U32="खुला",'School Info'!$D$13,0)</f>
        <v>0</v>
      </c>
      <c r="Y32" s="343"/>
      <c r="Z32" s="328">
        <f t="shared" si="7"/>
        <v>0</v>
      </c>
      <c r="AA32" s="343"/>
      <c r="AB32" s="343"/>
      <c r="AC32" s="329">
        <f t="shared" si="8"/>
        <v>0</v>
      </c>
      <c r="AD32" s="348"/>
      <c r="AE32" s="349"/>
      <c r="AF32" s="348"/>
      <c r="AG32" s="349"/>
      <c r="AH32" s="348"/>
      <c r="AI32" s="349"/>
      <c r="AJ32" s="348"/>
      <c r="AK32" s="349"/>
      <c r="AL32" s="618"/>
      <c r="AM32" s="618"/>
      <c r="AN32" s="618"/>
      <c r="AO32" s="619"/>
      <c r="AP32" s="550"/>
      <c r="AQ32" s="260" t="s">
        <v>169</v>
      </c>
      <c r="AR32" s="72">
        <f t="shared" si="9"/>
        <v>0</v>
      </c>
      <c r="AS32" s="72">
        <f t="shared" si="10"/>
        <v>0</v>
      </c>
      <c r="AT32" s="72">
        <f t="shared" si="11"/>
        <v>0</v>
      </c>
      <c r="AU32" s="72">
        <f t="shared" si="12"/>
        <v>0</v>
      </c>
      <c r="AV32" s="260"/>
      <c r="AW32" s="73">
        <f>AR32*'School Info'!$E$17</f>
        <v>0</v>
      </c>
      <c r="AX32" s="73">
        <f>AS32*'School Info'!$E$17</f>
        <v>0</v>
      </c>
      <c r="AY32" s="73">
        <f>AT32*'School Info'!$E$18</f>
        <v>0</v>
      </c>
      <c r="AZ32" s="73">
        <f>AU32*'School Info'!$E$18</f>
        <v>0</v>
      </c>
    </row>
    <row r="33" spans="1:52" ht="23.25" customHeight="1">
      <c r="A33" s="462"/>
      <c r="B33" s="109"/>
      <c r="C33" s="79"/>
      <c r="D33" s="79"/>
      <c r="E33" s="79"/>
      <c r="F33" s="79"/>
      <c r="G33" s="79"/>
      <c r="H33" s="79"/>
      <c r="I33" s="79"/>
      <c r="J33" s="79"/>
      <c r="K33" s="81">
        <f>IF('School Info'!$W$7&gt;26,K32+1,"--")</f>
        <v>27</v>
      </c>
      <c r="L33" s="23">
        <f t="shared" si="13"/>
        <v>44922</v>
      </c>
      <c r="M33" s="22" t="str">
        <f t="shared" si="1"/>
        <v>Tuesday</v>
      </c>
      <c r="N33" s="152" t="str">
        <f t="shared" si="2"/>
        <v>खुला</v>
      </c>
      <c r="O33" s="151" t="str">
        <f t="shared" si="3"/>
        <v>Tuesday</v>
      </c>
      <c r="P33" s="165" t="str">
        <f t="shared" si="0"/>
        <v>चावल एवं दाल/सब्जी</v>
      </c>
      <c r="Q33" s="324" t="str">
        <f t="shared" si="4"/>
        <v>R</v>
      </c>
      <c r="R33" s="330">
        <f>IF('School Info'!$W$7&gt;=K33,R32,"---")</f>
        <v>50</v>
      </c>
      <c r="S33" s="331">
        <f>IF('School Info'!$W$7&gt;=K33,S32,"---")</f>
        <v>215</v>
      </c>
      <c r="T33" s="331">
        <f t="shared" si="5"/>
        <v>265</v>
      </c>
      <c r="U33" s="331">
        <f>IF('School Info'!$W$7&gt;=K33,U32,"---")</f>
        <v>30</v>
      </c>
      <c r="V33" s="331">
        <f>IF('School Info'!$W$7&gt;=K33,V32,"---")</f>
        <v>43</v>
      </c>
      <c r="W33" s="327">
        <f t="shared" si="6"/>
        <v>73</v>
      </c>
      <c r="X33" s="342">
        <f>IF(U33="खुला",'School Info'!$D$13,0)</f>
        <v>0</v>
      </c>
      <c r="Y33" s="343"/>
      <c r="Z33" s="328">
        <f t="shared" si="7"/>
        <v>0</v>
      </c>
      <c r="AA33" s="343"/>
      <c r="AB33" s="343"/>
      <c r="AC33" s="329">
        <f t="shared" si="8"/>
        <v>0</v>
      </c>
      <c r="AD33" s="348"/>
      <c r="AE33" s="349"/>
      <c r="AF33" s="348"/>
      <c r="AG33" s="349"/>
      <c r="AH33" s="348"/>
      <c r="AI33" s="349"/>
      <c r="AJ33" s="348"/>
      <c r="AK33" s="349"/>
      <c r="AL33" s="618"/>
      <c r="AM33" s="618"/>
      <c r="AN33" s="618"/>
      <c r="AO33" s="619"/>
      <c r="AP33" s="550"/>
      <c r="AQ33" s="260" t="s">
        <v>171</v>
      </c>
      <c r="AR33" s="72">
        <f t="shared" si="9"/>
        <v>0</v>
      </c>
      <c r="AS33" s="72">
        <f t="shared" si="10"/>
        <v>0</v>
      </c>
      <c r="AT33" s="72">
        <f t="shared" si="11"/>
        <v>0</v>
      </c>
      <c r="AU33" s="72">
        <f t="shared" si="12"/>
        <v>0</v>
      </c>
      <c r="AV33" s="260"/>
      <c r="AW33" s="73">
        <f>AR33*'School Info'!$E$17</f>
        <v>0</v>
      </c>
      <c r="AX33" s="73">
        <f>AS33*'School Info'!$E$17</f>
        <v>0</v>
      </c>
      <c r="AY33" s="73">
        <f>AT33*'School Info'!$E$18</f>
        <v>0</v>
      </c>
      <c r="AZ33" s="73">
        <f>AU33*'School Info'!$E$18</f>
        <v>0</v>
      </c>
    </row>
    <row r="34" spans="1:52" ht="23.25" customHeight="1">
      <c r="A34" s="462"/>
      <c r="B34" s="109"/>
      <c r="C34" s="79"/>
      <c r="D34" s="79"/>
      <c r="E34" s="79"/>
      <c r="F34" s="79"/>
      <c r="G34" s="79"/>
      <c r="H34" s="79"/>
      <c r="I34" s="79"/>
      <c r="J34" s="79"/>
      <c r="K34" s="81">
        <f>IF('School Info'!$W$7&gt;27,K33+1,"--")</f>
        <v>28</v>
      </c>
      <c r="L34" s="23">
        <f>L33+1</f>
        <v>44923</v>
      </c>
      <c r="M34" s="22" t="str">
        <f t="shared" si="1"/>
        <v>Wednesday</v>
      </c>
      <c r="N34" s="152" t="str">
        <f t="shared" si="2"/>
        <v>खुला</v>
      </c>
      <c r="O34" s="151" t="str">
        <f t="shared" si="3"/>
        <v>Wednesday</v>
      </c>
      <c r="P34" s="165" t="str">
        <f t="shared" si="0"/>
        <v>रोटी - दाल</v>
      </c>
      <c r="Q34" s="324" t="str">
        <f t="shared" si="4"/>
        <v>W</v>
      </c>
      <c r="R34" s="330">
        <f>IF('School Info'!$W$7&gt;=K34,R33,"---")</f>
        <v>50</v>
      </c>
      <c r="S34" s="331">
        <f>IF('School Info'!$W$7&gt;=K34,S33,"---")</f>
        <v>215</v>
      </c>
      <c r="T34" s="331">
        <f t="shared" si="5"/>
        <v>265</v>
      </c>
      <c r="U34" s="331">
        <f>IF('School Info'!$W$7&gt;=K34,U33,"---")</f>
        <v>30</v>
      </c>
      <c r="V34" s="331">
        <f>IF('School Info'!$W$7&gt;=K34,V33,"---")</f>
        <v>43</v>
      </c>
      <c r="W34" s="327">
        <f t="shared" si="6"/>
        <v>73</v>
      </c>
      <c r="X34" s="342">
        <f>IF(U34="खुला",'School Info'!$D$13,0)</f>
        <v>0</v>
      </c>
      <c r="Y34" s="343"/>
      <c r="Z34" s="328">
        <f t="shared" si="7"/>
        <v>0</v>
      </c>
      <c r="AA34" s="343"/>
      <c r="AB34" s="343"/>
      <c r="AC34" s="329">
        <f t="shared" si="8"/>
        <v>0</v>
      </c>
      <c r="AD34" s="348"/>
      <c r="AE34" s="349"/>
      <c r="AF34" s="348"/>
      <c r="AG34" s="349"/>
      <c r="AH34" s="348"/>
      <c r="AI34" s="349"/>
      <c r="AJ34" s="348"/>
      <c r="AK34" s="349"/>
      <c r="AL34" s="618"/>
      <c r="AM34" s="618"/>
      <c r="AN34" s="618"/>
      <c r="AO34" s="619"/>
      <c r="AP34" s="550"/>
      <c r="AQ34" s="260" t="s">
        <v>172</v>
      </c>
      <c r="AR34" s="72">
        <f t="shared" si="9"/>
        <v>0</v>
      </c>
      <c r="AS34" s="72">
        <f t="shared" si="10"/>
        <v>0</v>
      </c>
      <c r="AT34" s="72">
        <f t="shared" si="11"/>
        <v>0</v>
      </c>
      <c r="AU34" s="72">
        <f t="shared" si="12"/>
        <v>0</v>
      </c>
      <c r="AV34" s="260"/>
      <c r="AW34" s="73">
        <f>AR34*'School Info'!$E$17</f>
        <v>0</v>
      </c>
      <c r="AX34" s="73">
        <f>AS34*'School Info'!$E$17</f>
        <v>0</v>
      </c>
      <c r="AY34" s="73">
        <f>AT34*'School Info'!$E$18</f>
        <v>0</v>
      </c>
      <c r="AZ34" s="73">
        <f>AU34*'School Info'!$E$18</f>
        <v>0</v>
      </c>
    </row>
    <row r="35" spans="1:52" ht="23.25" customHeight="1">
      <c r="A35" s="462"/>
      <c r="B35" s="109"/>
      <c r="C35" s="79"/>
      <c r="D35" s="79"/>
      <c r="E35" s="79"/>
      <c r="F35" s="79"/>
      <c r="G35" s="79"/>
      <c r="H35" s="79"/>
      <c r="I35" s="79"/>
      <c r="J35" s="79"/>
      <c r="K35" s="81">
        <f>IF('School Info'!$W$7&gt;28,K34+1,"--")</f>
        <v>29</v>
      </c>
      <c r="L35" s="23">
        <f>IF('School Info'!W7&gt;28,'Food-Data Entry'!L34+1,"---")</f>
        <v>44924</v>
      </c>
      <c r="M35" s="22" t="str">
        <f t="shared" si="1"/>
        <v>Thursday</v>
      </c>
      <c r="N35" s="152" t="str">
        <f t="shared" si="2"/>
        <v>खुला</v>
      </c>
      <c r="O35" s="151" t="str">
        <f t="shared" si="3"/>
        <v>Thursday</v>
      </c>
      <c r="P35" s="165" t="str">
        <f t="shared" si="0"/>
        <v>खिचडी</v>
      </c>
      <c r="Q35" s="324" t="str">
        <f t="shared" si="4"/>
        <v>R</v>
      </c>
      <c r="R35" s="330">
        <f>IF('School Info'!$W$7&gt;=K35,R34,"---")</f>
        <v>50</v>
      </c>
      <c r="S35" s="331">
        <f>IF('School Info'!$W$7&gt;=K35,S34,"---")</f>
        <v>215</v>
      </c>
      <c r="T35" s="331">
        <f t="shared" si="5"/>
        <v>265</v>
      </c>
      <c r="U35" s="331">
        <f>IF('School Info'!$W$7&gt;=K35,U34,"---")</f>
        <v>30</v>
      </c>
      <c r="V35" s="331">
        <f>IF('School Info'!$W$7&gt;=K35,V34,"---")</f>
        <v>43</v>
      </c>
      <c r="W35" s="327">
        <f t="shared" si="6"/>
        <v>73</v>
      </c>
      <c r="X35" s="342">
        <f>IF(U35="खुला",'School Info'!$D$13,0)</f>
        <v>0</v>
      </c>
      <c r="Y35" s="343"/>
      <c r="Z35" s="328">
        <f t="shared" si="7"/>
        <v>0</v>
      </c>
      <c r="AA35" s="343"/>
      <c r="AB35" s="343"/>
      <c r="AC35" s="329">
        <f t="shared" si="8"/>
        <v>0</v>
      </c>
      <c r="AD35" s="348"/>
      <c r="AE35" s="349"/>
      <c r="AF35" s="348"/>
      <c r="AG35" s="349"/>
      <c r="AH35" s="348"/>
      <c r="AI35" s="349"/>
      <c r="AJ35" s="348"/>
      <c r="AK35" s="349"/>
      <c r="AL35" s="618"/>
      <c r="AM35" s="618"/>
      <c r="AN35" s="618"/>
      <c r="AO35" s="619"/>
      <c r="AP35" s="550"/>
      <c r="AQ35" s="260" t="s">
        <v>176</v>
      </c>
      <c r="AR35" s="72">
        <f t="shared" si="9"/>
        <v>0</v>
      </c>
      <c r="AS35" s="72">
        <f t="shared" si="10"/>
        <v>0</v>
      </c>
      <c r="AT35" s="72">
        <f t="shared" si="11"/>
        <v>0</v>
      </c>
      <c r="AU35" s="72">
        <f t="shared" si="12"/>
        <v>0</v>
      </c>
      <c r="AV35" s="260"/>
      <c r="AW35" s="73">
        <f>AR35*'School Info'!$E$17</f>
        <v>0</v>
      </c>
      <c r="AX35" s="73">
        <f>AS35*'School Info'!$E$17</f>
        <v>0</v>
      </c>
      <c r="AY35" s="73">
        <f>AT35*'School Info'!$E$18</f>
        <v>0</v>
      </c>
      <c r="AZ35" s="73">
        <f>AU35*'School Info'!$E$18</f>
        <v>0</v>
      </c>
    </row>
    <row r="36" spans="1:52" ht="23.25" customHeight="1">
      <c r="A36" s="462"/>
      <c r="B36" s="109"/>
      <c r="C36" s="79"/>
      <c r="D36" s="79"/>
      <c r="E36" s="79"/>
      <c r="F36" s="79"/>
      <c r="G36" s="79"/>
      <c r="H36" s="79"/>
      <c r="I36" s="79"/>
      <c r="J36" s="79"/>
      <c r="K36" s="81">
        <f>IF('School Info'!$W$7&gt;29,K35+1,"--")</f>
        <v>30</v>
      </c>
      <c r="L36" s="23">
        <f>IF('School Info'!W7&gt;29,'Food-Data Entry'!L35+1,"---")</f>
        <v>44925</v>
      </c>
      <c r="M36" s="22" t="str">
        <f t="shared" si="1"/>
        <v>Friday</v>
      </c>
      <c r="N36" s="152" t="str">
        <f t="shared" si="2"/>
        <v>खुला</v>
      </c>
      <c r="O36" s="151" t="str">
        <f t="shared" si="3"/>
        <v>Friday</v>
      </c>
      <c r="P36" s="165" t="str">
        <f t="shared" si="0"/>
        <v>रोटी - दाल</v>
      </c>
      <c r="Q36" s="324" t="str">
        <f t="shared" si="4"/>
        <v>W</v>
      </c>
      <c r="R36" s="330">
        <f>IF('School Info'!$W$7&gt;=K36,R35,"---")</f>
        <v>50</v>
      </c>
      <c r="S36" s="331">
        <f>IF('School Info'!$W$7&gt;=K36,S35,"---")</f>
        <v>215</v>
      </c>
      <c r="T36" s="331">
        <f t="shared" si="5"/>
        <v>265</v>
      </c>
      <c r="U36" s="331">
        <f>IF('School Info'!$W$7&gt;=K36,U35,"---")</f>
        <v>30</v>
      </c>
      <c r="V36" s="331">
        <f>IF('School Info'!$W$7&gt;=K36,V35,"---")</f>
        <v>43</v>
      </c>
      <c r="W36" s="327">
        <f t="shared" si="6"/>
        <v>73</v>
      </c>
      <c r="X36" s="342">
        <f>IF(U36="खुला",'School Info'!$D$13,0)</f>
        <v>0</v>
      </c>
      <c r="Y36" s="343"/>
      <c r="Z36" s="328">
        <f t="shared" si="7"/>
        <v>0</v>
      </c>
      <c r="AA36" s="343"/>
      <c r="AB36" s="343"/>
      <c r="AC36" s="329">
        <f t="shared" si="8"/>
        <v>0</v>
      </c>
      <c r="AD36" s="348"/>
      <c r="AE36" s="349"/>
      <c r="AF36" s="348"/>
      <c r="AG36" s="349"/>
      <c r="AH36" s="348"/>
      <c r="AI36" s="349"/>
      <c r="AJ36" s="348"/>
      <c r="AK36" s="349"/>
      <c r="AL36" s="618"/>
      <c r="AM36" s="618"/>
      <c r="AN36" s="618"/>
      <c r="AO36" s="619"/>
      <c r="AP36" s="550"/>
      <c r="AQ36" s="260"/>
      <c r="AR36" s="72">
        <f t="shared" si="9"/>
        <v>0</v>
      </c>
      <c r="AS36" s="72">
        <f t="shared" si="10"/>
        <v>0</v>
      </c>
      <c r="AT36" s="72">
        <f t="shared" si="11"/>
        <v>0</v>
      </c>
      <c r="AU36" s="72">
        <f t="shared" si="12"/>
        <v>0</v>
      </c>
      <c r="AV36" s="260"/>
      <c r="AW36" s="73">
        <f>AR36*'School Info'!$E$17</f>
        <v>0</v>
      </c>
      <c r="AX36" s="73">
        <f>AS36*'School Info'!$E$17</f>
        <v>0</v>
      </c>
      <c r="AY36" s="73">
        <f>AT36*'School Info'!$E$18</f>
        <v>0</v>
      </c>
      <c r="AZ36" s="73">
        <f>AU36*'School Info'!$E$18</f>
        <v>0</v>
      </c>
    </row>
    <row r="37" spans="1:52" ht="23.25" customHeight="1" thickBot="1">
      <c r="A37" s="462"/>
      <c r="B37" s="109"/>
      <c r="C37" s="79"/>
      <c r="D37" s="79"/>
      <c r="E37" s="79"/>
      <c r="F37" s="79"/>
      <c r="G37" s="79"/>
      <c r="H37" s="79"/>
      <c r="I37" s="79"/>
      <c r="J37" s="79"/>
      <c r="K37" s="208">
        <f>IF('School Info'!$W$7&gt;30,K36+1,"--")</f>
        <v>31</v>
      </c>
      <c r="L37" s="209">
        <f>IF('School Info'!W7&gt;30,'Food-Data Entry'!L36+1,"---")</f>
        <v>44926</v>
      </c>
      <c r="M37" s="210" t="str">
        <f t="shared" si="1"/>
        <v>Saturday</v>
      </c>
      <c r="N37" s="211" t="str">
        <f t="shared" si="2"/>
        <v>खुला</v>
      </c>
      <c r="O37" s="212" t="str">
        <f t="shared" si="3"/>
        <v>Saturday</v>
      </c>
      <c r="P37" s="213" t="str">
        <f t="shared" si="0"/>
        <v>रोटी - सब्जी</v>
      </c>
      <c r="Q37" s="334" t="str">
        <f t="shared" si="4"/>
        <v>W</v>
      </c>
      <c r="R37" s="335">
        <f>IF('School Info'!$W$7&gt;=K37,R36,"---")</f>
        <v>50</v>
      </c>
      <c r="S37" s="336">
        <f>IF('School Info'!$W$7&gt;=K37,S36,"---")</f>
        <v>215</v>
      </c>
      <c r="T37" s="336">
        <f t="shared" si="5"/>
        <v>265</v>
      </c>
      <c r="U37" s="336">
        <f>IF('School Info'!$W$7&gt;=K37,U36,"---")</f>
        <v>30</v>
      </c>
      <c r="V37" s="336">
        <f>IF('School Info'!$W$7&gt;=K37,V36,"---")</f>
        <v>43</v>
      </c>
      <c r="W37" s="337">
        <f t="shared" si="6"/>
        <v>73</v>
      </c>
      <c r="X37" s="344">
        <f>IF(U37="खुला",'School Info'!$D$13,0)</f>
        <v>0</v>
      </c>
      <c r="Y37" s="345"/>
      <c r="Z37" s="338">
        <f t="shared" si="7"/>
        <v>0</v>
      </c>
      <c r="AA37" s="345"/>
      <c r="AB37" s="345"/>
      <c r="AC37" s="339">
        <f t="shared" si="8"/>
        <v>0</v>
      </c>
      <c r="AD37" s="350"/>
      <c r="AE37" s="351"/>
      <c r="AF37" s="350"/>
      <c r="AG37" s="351"/>
      <c r="AH37" s="350"/>
      <c r="AI37" s="351"/>
      <c r="AJ37" s="350"/>
      <c r="AK37" s="351"/>
      <c r="AL37" s="618"/>
      <c r="AM37" s="618"/>
      <c r="AN37" s="618"/>
      <c r="AO37" s="619"/>
      <c r="AP37" s="550"/>
      <c r="AQ37" s="260"/>
      <c r="AR37" s="72">
        <f t="shared" si="9"/>
        <v>0</v>
      </c>
      <c r="AS37" s="72">
        <f t="shared" si="10"/>
        <v>0</v>
      </c>
      <c r="AT37" s="72">
        <f t="shared" si="11"/>
        <v>0</v>
      </c>
      <c r="AU37" s="72">
        <f t="shared" si="12"/>
        <v>0</v>
      </c>
      <c r="AV37" s="260"/>
      <c r="AW37" s="73">
        <f>AR37*'School Info'!$E$17</f>
        <v>0</v>
      </c>
      <c r="AX37" s="73">
        <f>AS37*'School Info'!$E$17</f>
        <v>0</v>
      </c>
      <c r="AY37" s="73">
        <f>AT37*'School Info'!$E$18</f>
        <v>0</v>
      </c>
      <c r="AZ37" s="73">
        <f>AU37*'School Info'!$E$18</f>
        <v>0</v>
      </c>
    </row>
    <row r="38" spans="1:52" ht="27" customHeight="1" thickBot="1">
      <c r="A38" s="462"/>
      <c r="B38" s="110"/>
      <c r="C38" s="111"/>
      <c r="D38" s="111"/>
      <c r="E38" s="111"/>
      <c r="F38" s="111"/>
      <c r="G38" s="111"/>
      <c r="H38" s="111"/>
      <c r="I38" s="111"/>
      <c r="J38" s="112"/>
      <c r="K38" s="647" t="s">
        <v>125</v>
      </c>
      <c r="L38" s="648"/>
      <c r="M38" s="648"/>
      <c r="N38" s="648"/>
      <c r="O38" s="648"/>
      <c r="P38" s="648"/>
      <c r="Q38" s="649"/>
      <c r="R38" s="204">
        <f>SUM(R7:R37)</f>
        <v>1550</v>
      </c>
      <c r="S38" s="205">
        <f t="shared" ref="S38:AG38" si="15">SUM(S7:S37)</f>
        <v>6665</v>
      </c>
      <c r="T38" s="205">
        <f t="shared" si="15"/>
        <v>8215</v>
      </c>
      <c r="U38" s="205">
        <f t="shared" si="15"/>
        <v>930</v>
      </c>
      <c r="V38" s="205">
        <f t="shared" si="15"/>
        <v>1333</v>
      </c>
      <c r="W38" s="205">
        <f t="shared" si="15"/>
        <v>2263</v>
      </c>
      <c r="X38" s="205">
        <f t="shared" si="15"/>
        <v>0</v>
      </c>
      <c r="Y38" s="205">
        <f t="shared" si="15"/>
        <v>0</v>
      </c>
      <c r="Z38" s="205">
        <f t="shared" si="15"/>
        <v>0</v>
      </c>
      <c r="AA38" s="205">
        <f t="shared" si="15"/>
        <v>0</v>
      </c>
      <c r="AB38" s="205">
        <f t="shared" si="15"/>
        <v>0</v>
      </c>
      <c r="AC38" s="205">
        <f t="shared" si="15"/>
        <v>0</v>
      </c>
      <c r="AD38" s="206">
        <f t="shared" si="15"/>
        <v>0</v>
      </c>
      <c r="AE38" s="206">
        <f t="shared" si="15"/>
        <v>0</v>
      </c>
      <c r="AF38" s="206">
        <f t="shared" si="15"/>
        <v>0</v>
      </c>
      <c r="AG38" s="206">
        <f t="shared" si="15"/>
        <v>0</v>
      </c>
      <c r="AH38" s="206">
        <f t="shared" ref="AH38:AK38" si="16">SUM(AH7:AH37)</f>
        <v>0</v>
      </c>
      <c r="AI38" s="206">
        <f t="shared" si="16"/>
        <v>0</v>
      </c>
      <c r="AJ38" s="206">
        <f t="shared" si="16"/>
        <v>0</v>
      </c>
      <c r="AK38" s="207">
        <f t="shared" si="16"/>
        <v>0</v>
      </c>
      <c r="AL38" s="620"/>
      <c r="AM38" s="620"/>
      <c r="AN38" s="620"/>
      <c r="AO38" s="621"/>
      <c r="AP38" s="550"/>
      <c r="AQ38" s="72" t="s">
        <v>125</v>
      </c>
      <c r="AR38" s="74">
        <f t="shared" ref="AR38:AS38" si="17">SUM(AR7:AR37)</f>
        <v>0</v>
      </c>
      <c r="AS38" s="74">
        <f t="shared" si="17"/>
        <v>0</v>
      </c>
      <c r="AT38" s="74">
        <f t="shared" ref="AT38" si="18">SUM(AT7:AT37)</f>
        <v>0</v>
      </c>
      <c r="AU38" s="74">
        <f t="shared" ref="AU38" si="19">SUM(AU7:AU37)</f>
        <v>0</v>
      </c>
      <c r="AV38" s="18" t="s">
        <v>125</v>
      </c>
      <c r="AW38" s="74">
        <f>SUM(AW7:AW37)</f>
        <v>0</v>
      </c>
      <c r="AX38" s="74">
        <f t="shared" ref="AX38:AZ38" si="20">SUM(AX7:AX37)</f>
        <v>0</v>
      </c>
      <c r="AY38" s="74">
        <f t="shared" si="20"/>
        <v>0</v>
      </c>
      <c r="AZ38" s="74">
        <f t="shared" si="20"/>
        <v>0</v>
      </c>
    </row>
    <row r="39" spans="1:52" ht="9.75" customHeight="1">
      <c r="A39" s="462"/>
      <c r="B39" s="462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62"/>
      <c r="Y39" s="462"/>
      <c r="Z39" s="462"/>
      <c r="AA39" s="462"/>
      <c r="AB39" s="462"/>
      <c r="AC39" s="462"/>
      <c r="AD39" s="462"/>
      <c r="AE39" s="462"/>
      <c r="AF39" s="462"/>
      <c r="AG39" s="462"/>
      <c r="AH39" s="462"/>
      <c r="AI39" s="462"/>
      <c r="AJ39" s="462"/>
      <c r="AK39" s="462"/>
      <c r="AL39" s="462"/>
      <c r="AM39" s="462"/>
      <c r="AN39" s="462"/>
      <c r="AO39" s="462"/>
      <c r="AP39" s="462"/>
      <c r="AQ39" s="42"/>
      <c r="AR39" s="42"/>
      <c r="AS39" s="42"/>
      <c r="AT39" s="42"/>
      <c r="AU39" s="42"/>
      <c r="AV39" s="42"/>
    </row>
    <row r="40" spans="1:52" ht="23.25" hidden="1" customHeight="1">
      <c r="AQ40" s="260"/>
      <c r="AV40" s="260"/>
    </row>
    <row r="41" spans="1:52" ht="18" hidden="1" customHeight="1">
      <c r="AQ41" s="260"/>
      <c r="AV41" s="260"/>
    </row>
    <row r="42" spans="1:52" ht="18" hidden="1" customHeight="1">
      <c r="AQ42" s="260"/>
      <c r="AV42" s="260"/>
    </row>
    <row r="43" spans="1:52" ht="18" hidden="1" customHeight="1">
      <c r="AQ43" s="260"/>
      <c r="AV43" s="260"/>
    </row>
    <row r="44" spans="1:52" ht="18" hidden="1" customHeight="1">
      <c r="AQ44" s="260">
        <v>0</v>
      </c>
      <c r="AV44" s="260"/>
    </row>
    <row r="45" spans="1:52" ht="18" hidden="1" customHeight="1">
      <c r="AQ45" s="260">
        <v>1</v>
      </c>
      <c r="AV45" s="260"/>
    </row>
    <row r="46" spans="1:52" ht="18" hidden="1" customHeight="1">
      <c r="AQ46" s="260">
        <v>2</v>
      </c>
      <c r="AV46" s="260"/>
    </row>
    <row r="47" spans="1:52" ht="18" hidden="1" customHeight="1">
      <c r="AQ47" s="260">
        <v>3</v>
      </c>
      <c r="AV47" s="260"/>
    </row>
    <row r="48" spans="1:52" ht="18" hidden="1" customHeight="1">
      <c r="AQ48" s="260">
        <v>4</v>
      </c>
      <c r="AV48" s="260"/>
    </row>
    <row r="49" spans="30:48" ht="18" hidden="1" customHeight="1">
      <c r="AQ49" s="260">
        <v>5</v>
      </c>
      <c r="AV49" s="260"/>
    </row>
    <row r="50" spans="30:48" ht="18" hidden="1" customHeight="1">
      <c r="AQ50" s="260">
        <v>6</v>
      </c>
      <c r="AV50" s="260"/>
    </row>
    <row r="51" spans="30:48" ht="18" hidden="1" customHeight="1">
      <c r="AQ51" s="260">
        <v>7</v>
      </c>
      <c r="AV51" s="260"/>
    </row>
    <row r="52" spans="30:48" ht="12.75" hidden="1" customHeight="1">
      <c r="AQ52" s="260">
        <v>8</v>
      </c>
      <c r="AV52" s="260"/>
    </row>
    <row r="53" spans="30:48" ht="12.75" hidden="1" customHeight="1">
      <c r="AQ53" s="260">
        <v>9</v>
      </c>
      <c r="AV53" s="260"/>
    </row>
    <row r="54" spans="30:48" ht="12.75" hidden="1" customHeight="1">
      <c r="AQ54" s="260">
        <v>10</v>
      </c>
      <c r="AV54" s="260"/>
    </row>
    <row r="55" spans="30:48" ht="12.75" hidden="1" customHeight="1">
      <c r="AQ55" s="260">
        <v>11</v>
      </c>
      <c r="AV55" s="260"/>
    </row>
    <row r="56" spans="30:48" ht="12.75" hidden="1" customHeight="1">
      <c r="AQ56" s="260">
        <v>12</v>
      </c>
      <c r="AV56" s="260"/>
    </row>
    <row r="57" spans="30:48" ht="12.75" hidden="1" customHeight="1">
      <c r="AQ57" s="260">
        <v>13</v>
      </c>
      <c r="AV57" s="260"/>
    </row>
    <row r="58" spans="30:48" ht="26.25" hidden="1" customHeight="1">
      <c r="AQ58" s="260">
        <v>14</v>
      </c>
      <c r="AV58" s="260"/>
    </row>
    <row r="59" spans="30:48" ht="39" hidden="1" customHeight="1">
      <c r="AQ59" s="260">
        <v>15</v>
      </c>
      <c r="AV59" s="260"/>
    </row>
    <row r="60" spans="30:48" ht="384" hidden="1" customHeight="1">
      <c r="AQ60" s="260">
        <v>16</v>
      </c>
      <c r="AV60" s="260"/>
    </row>
    <row r="61" spans="30:48" hidden="1">
      <c r="AQ61" s="260">
        <v>17</v>
      </c>
      <c r="AV61" s="260"/>
    </row>
    <row r="62" spans="30:48" s="42" customFormat="1" ht="15" hidden="1" customHeight="1">
      <c r="AD62" s="168"/>
      <c r="AE62" s="168"/>
      <c r="AF62" s="168"/>
      <c r="AG62" s="168"/>
      <c r="AH62" s="168"/>
      <c r="AI62" s="168"/>
      <c r="AJ62" s="168"/>
      <c r="AK62" s="168"/>
      <c r="AQ62" s="258">
        <v>18</v>
      </c>
      <c r="AV62" s="258"/>
    </row>
    <row r="63" spans="30:48" ht="18" hidden="1" customHeight="1">
      <c r="AQ63" s="260">
        <v>19</v>
      </c>
      <c r="AV63" s="260"/>
    </row>
    <row r="64" spans="30:48" ht="15" hidden="1" customHeight="1">
      <c r="AQ64" s="260">
        <v>20</v>
      </c>
      <c r="AV64" s="260"/>
    </row>
    <row r="65" spans="43:48" ht="15" hidden="1" customHeight="1">
      <c r="AQ65" s="260">
        <v>21</v>
      </c>
      <c r="AV65" s="260"/>
    </row>
    <row r="66" spans="43:48" ht="15" hidden="1" customHeight="1">
      <c r="AQ66" s="260">
        <v>22</v>
      </c>
      <c r="AV66" s="260"/>
    </row>
    <row r="67" spans="43:48" ht="15" hidden="1" customHeight="1">
      <c r="AQ67" s="260">
        <v>23</v>
      </c>
      <c r="AV67" s="260"/>
    </row>
    <row r="68" spans="43:48" ht="15" hidden="1" customHeight="1">
      <c r="AQ68" s="260">
        <v>24</v>
      </c>
      <c r="AV68" s="260"/>
    </row>
    <row r="69" spans="43:48" ht="15" hidden="1" customHeight="1">
      <c r="AQ69" s="260">
        <v>25</v>
      </c>
      <c r="AV69" s="260"/>
    </row>
    <row r="70" spans="43:48" ht="15" hidden="1" customHeight="1">
      <c r="AQ70" s="260">
        <v>26</v>
      </c>
      <c r="AV70" s="260"/>
    </row>
    <row r="71" spans="43:48" ht="15.75" hidden="1" customHeight="1">
      <c r="AQ71" s="260">
        <v>27</v>
      </c>
      <c r="AV71" s="260"/>
    </row>
    <row r="72" spans="43:48" ht="19.5" hidden="1" customHeight="1">
      <c r="AQ72" s="260">
        <v>28</v>
      </c>
      <c r="AV72" s="260"/>
    </row>
    <row r="73" spans="43:48" ht="19.5" hidden="1" customHeight="1">
      <c r="AQ73" s="260">
        <v>29</v>
      </c>
      <c r="AV73" s="260"/>
    </row>
    <row r="74" spans="43:48" ht="22.5" hidden="1" customHeight="1">
      <c r="AQ74" s="260">
        <v>30</v>
      </c>
      <c r="AV74" s="260"/>
    </row>
    <row r="75" spans="43:48" ht="22.5" hidden="1" customHeight="1">
      <c r="AQ75" s="260">
        <v>31</v>
      </c>
      <c r="AV75" s="260"/>
    </row>
    <row r="76" spans="43:48" ht="22.5" hidden="1" customHeight="1">
      <c r="AQ76" s="260">
        <v>32</v>
      </c>
      <c r="AV76" s="260"/>
    </row>
    <row r="77" spans="43:48" ht="22.5" hidden="1" customHeight="1">
      <c r="AQ77" s="260">
        <v>33</v>
      </c>
      <c r="AV77" s="260"/>
    </row>
    <row r="78" spans="43:48" ht="22.5" hidden="1" customHeight="1">
      <c r="AQ78" s="260">
        <v>34</v>
      </c>
      <c r="AV78" s="260"/>
    </row>
    <row r="79" spans="43:48" ht="22.5" hidden="1" customHeight="1">
      <c r="AQ79" s="260">
        <v>35</v>
      </c>
      <c r="AV79" s="260"/>
    </row>
    <row r="80" spans="43:48" ht="22.5" hidden="1" customHeight="1">
      <c r="AQ80" s="260">
        <v>36</v>
      </c>
      <c r="AV80" s="260"/>
    </row>
    <row r="81" spans="43:48" ht="22.5" hidden="1" customHeight="1">
      <c r="AQ81" s="260">
        <v>37</v>
      </c>
      <c r="AV81" s="260"/>
    </row>
    <row r="82" spans="43:48" ht="22.5" hidden="1" customHeight="1">
      <c r="AQ82" s="260">
        <v>38</v>
      </c>
      <c r="AV82" s="260"/>
    </row>
    <row r="83" spans="43:48" ht="22.5" hidden="1" customHeight="1">
      <c r="AQ83" s="260">
        <v>39</v>
      </c>
      <c r="AV83" s="260"/>
    </row>
    <row r="84" spans="43:48" ht="22.5" hidden="1" customHeight="1">
      <c r="AQ84" s="260">
        <v>40</v>
      </c>
      <c r="AV84" s="260"/>
    </row>
    <row r="85" spans="43:48" ht="22.5" hidden="1" customHeight="1">
      <c r="AQ85" s="260">
        <v>41</v>
      </c>
      <c r="AV85" s="260"/>
    </row>
    <row r="86" spans="43:48" ht="22.5" hidden="1" customHeight="1">
      <c r="AQ86" s="260">
        <v>42</v>
      </c>
      <c r="AV86" s="260"/>
    </row>
    <row r="87" spans="43:48" ht="22.5" hidden="1" customHeight="1">
      <c r="AQ87" s="260">
        <v>43</v>
      </c>
      <c r="AV87" s="260"/>
    </row>
    <row r="88" spans="43:48" ht="22.5" hidden="1" customHeight="1">
      <c r="AQ88" s="260">
        <v>44</v>
      </c>
      <c r="AV88" s="260"/>
    </row>
    <row r="89" spans="43:48" ht="22.5" hidden="1" customHeight="1">
      <c r="AQ89" s="260">
        <v>45</v>
      </c>
      <c r="AV89" s="260"/>
    </row>
    <row r="90" spans="43:48" ht="22.5" hidden="1" customHeight="1">
      <c r="AQ90" s="260">
        <v>46</v>
      </c>
      <c r="AV90" s="260"/>
    </row>
    <row r="91" spans="43:48" ht="22.5" hidden="1" customHeight="1">
      <c r="AQ91" s="260">
        <v>47</v>
      </c>
      <c r="AV91" s="260"/>
    </row>
    <row r="92" spans="43:48" ht="22.5" hidden="1" customHeight="1">
      <c r="AQ92" s="260">
        <v>48</v>
      </c>
      <c r="AV92" s="260"/>
    </row>
    <row r="93" spans="43:48" ht="22.5" hidden="1" customHeight="1">
      <c r="AQ93" s="260">
        <v>49</v>
      </c>
      <c r="AV93" s="260"/>
    </row>
    <row r="94" spans="43:48" ht="22.5" hidden="1" customHeight="1">
      <c r="AQ94" s="260">
        <v>50</v>
      </c>
      <c r="AV94" s="260"/>
    </row>
    <row r="95" spans="43:48" ht="22.5" hidden="1" customHeight="1">
      <c r="AQ95" s="260">
        <v>51</v>
      </c>
      <c r="AV95" s="260"/>
    </row>
    <row r="96" spans="43:48" ht="22.5" hidden="1" customHeight="1">
      <c r="AQ96" s="260">
        <v>52</v>
      </c>
      <c r="AV96" s="260"/>
    </row>
    <row r="97" spans="43:48" ht="22.5" hidden="1" customHeight="1">
      <c r="AQ97" s="260">
        <v>53</v>
      </c>
      <c r="AV97" s="260"/>
    </row>
    <row r="98" spans="43:48" ht="22.5" hidden="1" customHeight="1">
      <c r="AQ98" s="260">
        <v>54</v>
      </c>
      <c r="AV98" s="260"/>
    </row>
    <row r="99" spans="43:48" ht="22.5" hidden="1" customHeight="1">
      <c r="AQ99" s="260">
        <v>55</v>
      </c>
      <c r="AV99" s="260"/>
    </row>
    <row r="100" spans="43:48" ht="22.5" hidden="1" customHeight="1">
      <c r="AQ100" s="260">
        <v>56</v>
      </c>
      <c r="AV100" s="260"/>
    </row>
    <row r="101" spans="43:48" ht="22.5" hidden="1" customHeight="1">
      <c r="AQ101" s="260">
        <v>57</v>
      </c>
      <c r="AV101" s="260"/>
    </row>
    <row r="102" spans="43:48" ht="22.5" hidden="1" customHeight="1">
      <c r="AQ102" s="260">
        <v>58</v>
      </c>
      <c r="AV102" s="260"/>
    </row>
    <row r="103" spans="43:48" ht="22.5" hidden="1" customHeight="1">
      <c r="AQ103" s="260">
        <v>59</v>
      </c>
      <c r="AV103" s="260"/>
    </row>
    <row r="104" spans="43:48" ht="22.5" hidden="1" customHeight="1">
      <c r="AQ104" s="260">
        <v>60</v>
      </c>
      <c r="AV104" s="260"/>
    </row>
    <row r="105" spans="43:48" ht="23.25" hidden="1" customHeight="1">
      <c r="AQ105" s="260">
        <v>61</v>
      </c>
      <c r="AV105" s="260"/>
    </row>
    <row r="106" spans="43:48" ht="45.75" hidden="1" customHeight="1">
      <c r="AQ106" s="260">
        <v>62</v>
      </c>
      <c r="AV106" s="260"/>
    </row>
    <row r="107" spans="43:48" hidden="1">
      <c r="AQ107" s="260">
        <v>63</v>
      </c>
      <c r="AV107" s="260"/>
    </row>
    <row r="108" spans="43:48" hidden="1">
      <c r="AQ108" s="260">
        <v>64</v>
      </c>
      <c r="AV108" s="260"/>
    </row>
    <row r="109" spans="43:48" hidden="1">
      <c r="AQ109" s="260">
        <v>65</v>
      </c>
      <c r="AV109" s="260"/>
    </row>
    <row r="110" spans="43:48" hidden="1">
      <c r="AQ110" s="260">
        <v>66</v>
      </c>
      <c r="AV110" s="260"/>
    </row>
    <row r="111" spans="43:48" hidden="1">
      <c r="AQ111" s="260">
        <v>67</v>
      </c>
      <c r="AV111" s="260"/>
    </row>
    <row r="112" spans="43:48" hidden="1">
      <c r="AQ112" s="260">
        <v>68</v>
      </c>
      <c r="AV112" s="260"/>
    </row>
    <row r="113" spans="43:48" hidden="1">
      <c r="AQ113" s="260">
        <v>69</v>
      </c>
      <c r="AV113" s="260"/>
    </row>
    <row r="114" spans="43:48" hidden="1">
      <c r="AQ114" s="260">
        <v>70</v>
      </c>
      <c r="AV114" s="260"/>
    </row>
    <row r="115" spans="43:48" hidden="1">
      <c r="AQ115" s="260">
        <v>71</v>
      </c>
      <c r="AV115" s="260"/>
    </row>
    <row r="116" spans="43:48" hidden="1">
      <c r="AQ116" s="260">
        <v>72</v>
      </c>
      <c r="AV116" s="260"/>
    </row>
    <row r="117" spans="43:48" hidden="1">
      <c r="AQ117" s="260">
        <v>73</v>
      </c>
      <c r="AV117" s="260"/>
    </row>
    <row r="118" spans="43:48" hidden="1">
      <c r="AQ118" s="260">
        <v>74</v>
      </c>
      <c r="AV118" s="260"/>
    </row>
    <row r="119" spans="43:48" hidden="1">
      <c r="AQ119" s="260">
        <v>75</v>
      </c>
      <c r="AV119" s="260"/>
    </row>
    <row r="120" spans="43:48" hidden="1">
      <c r="AQ120" s="260">
        <v>76</v>
      </c>
      <c r="AV120" s="260"/>
    </row>
    <row r="121" spans="43:48" hidden="1">
      <c r="AQ121" s="260">
        <v>77</v>
      </c>
      <c r="AV121" s="260"/>
    </row>
    <row r="122" spans="43:48" hidden="1">
      <c r="AQ122" s="260">
        <v>78</v>
      </c>
      <c r="AV122" s="260"/>
    </row>
    <row r="123" spans="43:48" hidden="1">
      <c r="AQ123" s="260">
        <v>79</v>
      </c>
      <c r="AV123" s="260"/>
    </row>
    <row r="124" spans="43:48" hidden="1">
      <c r="AQ124" s="260">
        <v>80</v>
      </c>
      <c r="AV124" s="260"/>
    </row>
    <row r="125" spans="43:48" hidden="1">
      <c r="AQ125" s="260">
        <v>81</v>
      </c>
      <c r="AV125" s="260"/>
    </row>
    <row r="126" spans="43:48" hidden="1">
      <c r="AQ126" s="260">
        <v>82</v>
      </c>
      <c r="AV126" s="260"/>
    </row>
    <row r="127" spans="43:48" hidden="1">
      <c r="AQ127" s="260">
        <v>83</v>
      </c>
      <c r="AV127" s="260"/>
    </row>
    <row r="128" spans="43:48" hidden="1">
      <c r="AQ128" s="260">
        <v>84</v>
      </c>
      <c r="AV128" s="260"/>
    </row>
    <row r="129" spans="43:48" hidden="1">
      <c r="AQ129" s="260">
        <v>85</v>
      </c>
      <c r="AV129" s="260"/>
    </row>
    <row r="130" spans="43:48" hidden="1">
      <c r="AQ130" s="260">
        <v>86</v>
      </c>
      <c r="AV130" s="260"/>
    </row>
    <row r="131" spans="43:48" hidden="1">
      <c r="AQ131" s="260">
        <v>87</v>
      </c>
      <c r="AV131" s="260"/>
    </row>
    <row r="132" spans="43:48" hidden="1">
      <c r="AQ132" s="260">
        <v>88</v>
      </c>
      <c r="AV132" s="260"/>
    </row>
    <row r="133" spans="43:48" hidden="1">
      <c r="AQ133" s="260">
        <v>89</v>
      </c>
      <c r="AV133" s="260"/>
    </row>
    <row r="134" spans="43:48" hidden="1">
      <c r="AQ134" s="260">
        <v>90</v>
      </c>
      <c r="AV134" s="260"/>
    </row>
    <row r="135" spans="43:48" hidden="1">
      <c r="AQ135" s="260">
        <v>91</v>
      </c>
      <c r="AV135" s="260"/>
    </row>
    <row r="136" spans="43:48" hidden="1">
      <c r="AQ136" s="260">
        <v>92</v>
      </c>
      <c r="AV136" s="260"/>
    </row>
    <row r="137" spans="43:48" hidden="1">
      <c r="AQ137" s="260">
        <v>93</v>
      </c>
      <c r="AV137" s="260"/>
    </row>
    <row r="138" spans="43:48" hidden="1">
      <c r="AQ138" s="260">
        <v>94</v>
      </c>
      <c r="AV138" s="260"/>
    </row>
    <row r="139" spans="43:48" hidden="1">
      <c r="AQ139" s="260">
        <v>95</v>
      </c>
      <c r="AV139" s="260"/>
    </row>
    <row r="140" spans="43:48" hidden="1">
      <c r="AQ140" s="260">
        <v>96</v>
      </c>
      <c r="AV140" s="260"/>
    </row>
    <row r="141" spans="43:48" hidden="1">
      <c r="AQ141" s="260">
        <v>97</v>
      </c>
      <c r="AV141" s="260"/>
    </row>
    <row r="142" spans="43:48" hidden="1">
      <c r="AQ142" s="260">
        <v>98</v>
      </c>
      <c r="AV142" s="260"/>
    </row>
    <row r="143" spans="43:48" hidden="1">
      <c r="AQ143" s="260">
        <v>99</v>
      </c>
      <c r="AV143" s="260"/>
    </row>
    <row r="144" spans="43:48" hidden="1">
      <c r="AQ144" s="260">
        <v>100</v>
      </c>
      <c r="AV144" s="260"/>
    </row>
    <row r="145" spans="43:48" hidden="1">
      <c r="AQ145" s="260">
        <v>101</v>
      </c>
      <c r="AV145" s="260"/>
    </row>
    <row r="146" spans="43:48" hidden="1">
      <c r="AQ146" s="260">
        <v>102</v>
      </c>
      <c r="AV146" s="260"/>
    </row>
    <row r="147" spans="43:48" hidden="1">
      <c r="AQ147" s="260">
        <v>103</v>
      </c>
      <c r="AV147" s="260"/>
    </row>
    <row r="148" spans="43:48" hidden="1">
      <c r="AQ148" s="260">
        <v>104</v>
      </c>
      <c r="AV148" s="260"/>
    </row>
    <row r="149" spans="43:48" hidden="1">
      <c r="AQ149" s="260">
        <v>105</v>
      </c>
      <c r="AV149" s="260"/>
    </row>
    <row r="150" spans="43:48" hidden="1">
      <c r="AQ150" s="260">
        <v>106</v>
      </c>
      <c r="AV150" s="260"/>
    </row>
    <row r="151" spans="43:48" hidden="1">
      <c r="AQ151" s="260">
        <v>107</v>
      </c>
      <c r="AV151" s="260"/>
    </row>
    <row r="152" spans="43:48" hidden="1">
      <c r="AQ152" s="260">
        <v>108</v>
      </c>
      <c r="AV152" s="260"/>
    </row>
    <row r="153" spans="43:48" hidden="1">
      <c r="AQ153" s="260">
        <v>109</v>
      </c>
      <c r="AV153" s="260"/>
    </row>
    <row r="154" spans="43:48" hidden="1">
      <c r="AQ154" s="260">
        <v>110</v>
      </c>
      <c r="AV154" s="260"/>
    </row>
    <row r="155" spans="43:48" hidden="1">
      <c r="AQ155" s="260">
        <v>111</v>
      </c>
      <c r="AV155" s="260"/>
    </row>
    <row r="156" spans="43:48" hidden="1">
      <c r="AQ156" s="260">
        <v>112</v>
      </c>
      <c r="AV156" s="260"/>
    </row>
    <row r="157" spans="43:48" hidden="1">
      <c r="AQ157" s="260">
        <v>113</v>
      </c>
      <c r="AV157" s="260"/>
    </row>
    <row r="158" spans="43:48" hidden="1">
      <c r="AQ158" s="260">
        <v>114</v>
      </c>
      <c r="AV158" s="260"/>
    </row>
    <row r="159" spans="43:48" hidden="1">
      <c r="AQ159" s="260">
        <v>115</v>
      </c>
      <c r="AV159" s="260"/>
    </row>
    <row r="160" spans="43:48" hidden="1">
      <c r="AQ160" s="260">
        <v>116</v>
      </c>
      <c r="AV160" s="260"/>
    </row>
    <row r="161" spans="43:48" hidden="1">
      <c r="AQ161" s="260">
        <v>117</v>
      </c>
      <c r="AV161" s="260"/>
    </row>
    <row r="162" spans="43:48" hidden="1">
      <c r="AQ162" s="260">
        <v>118</v>
      </c>
      <c r="AV162" s="260"/>
    </row>
    <row r="163" spans="43:48" hidden="1">
      <c r="AQ163" s="260">
        <v>119</v>
      </c>
      <c r="AV163" s="260"/>
    </row>
    <row r="164" spans="43:48" hidden="1">
      <c r="AQ164" s="260">
        <v>120</v>
      </c>
      <c r="AV164" s="260"/>
    </row>
    <row r="165" spans="43:48" hidden="1">
      <c r="AQ165" s="260">
        <v>121</v>
      </c>
      <c r="AV165" s="260"/>
    </row>
    <row r="166" spans="43:48" hidden="1">
      <c r="AQ166" s="260">
        <v>122</v>
      </c>
      <c r="AV166" s="260"/>
    </row>
    <row r="167" spans="43:48" hidden="1">
      <c r="AQ167" s="260">
        <v>123</v>
      </c>
      <c r="AV167" s="260"/>
    </row>
    <row r="168" spans="43:48" hidden="1">
      <c r="AQ168" s="260">
        <v>124</v>
      </c>
      <c r="AV168" s="260"/>
    </row>
    <row r="169" spans="43:48" hidden="1">
      <c r="AQ169" s="260">
        <v>125</v>
      </c>
      <c r="AV169" s="260"/>
    </row>
    <row r="170" spans="43:48" hidden="1">
      <c r="AQ170" s="260">
        <v>126</v>
      </c>
      <c r="AV170" s="260"/>
    </row>
    <row r="171" spans="43:48" hidden="1">
      <c r="AQ171" s="260">
        <v>127</v>
      </c>
      <c r="AV171" s="260"/>
    </row>
    <row r="172" spans="43:48" hidden="1">
      <c r="AQ172" s="260">
        <v>128</v>
      </c>
      <c r="AV172" s="260"/>
    </row>
    <row r="173" spans="43:48" hidden="1">
      <c r="AQ173" s="260">
        <v>129</v>
      </c>
      <c r="AV173" s="260"/>
    </row>
    <row r="174" spans="43:48" hidden="1">
      <c r="AQ174" s="260">
        <v>130</v>
      </c>
      <c r="AV174" s="260"/>
    </row>
    <row r="175" spans="43:48" hidden="1">
      <c r="AQ175" s="260">
        <v>131</v>
      </c>
      <c r="AV175" s="260"/>
    </row>
    <row r="176" spans="43:48" hidden="1">
      <c r="AQ176" s="260">
        <v>132</v>
      </c>
      <c r="AV176" s="260"/>
    </row>
    <row r="177" spans="43:48" hidden="1">
      <c r="AQ177" s="260">
        <v>133</v>
      </c>
      <c r="AV177" s="260"/>
    </row>
    <row r="178" spans="43:48" hidden="1">
      <c r="AQ178" s="260">
        <v>134</v>
      </c>
      <c r="AV178" s="260"/>
    </row>
    <row r="179" spans="43:48" hidden="1">
      <c r="AQ179" s="260">
        <v>135</v>
      </c>
      <c r="AV179" s="260"/>
    </row>
    <row r="180" spans="43:48" hidden="1">
      <c r="AQ180" s="260">
        <v>136</v>
      </c>
      <c r="AV180" s="260"/>
    </row>
    <row r="181" spans="43:48" hidden="1">
      <c r="AQ181" s="260">
        <v>137</v>
      </c>
      <c r="AV181" s="260"/>
    </row>
    <row r="182" spans="43:48" hidden="1">
      <c r="AQ182" s="260">
        <v>138</v>
      </c>
      <c r="AV182" s="260"/>
    </row>
    <row r="183" spans="43:48" hidden="1">
      <c r="AQ183" s="260">
        <v>139</v>
      </c>
      <c r="AV183" s="260"/>
    </row>
    <row r="184" spans="43:48" hidden="1">
      <c r="AQ184" s="260">
        <v>140</v>
      </c>
      <c r="AV184" s="260"/>
    </row>
    <row r="185" spans="43:48" hidden="1">
      <c r="AQ185" s="260">
        <v>141</v>
      </c>
      <c r="AV185" s="260"/>
    </row>
    <row r="186" spans="43:48" hidden="1">
      <c r="AQ186" s="260">
        <v>142</v>
      </c>
      <c r="AV186" s="260"/>
    </row>
    <row r="187" spans="43:48" hidden="1">
      <c r="AQ187" s="260">
        <v>143</v>
      </c>
      <c r="AV187" s="260"/>
    </row>
    <row r="188" spans="43:48" hidden="1">
      <c r="AQ188" s="260">
        <v>144</v>
      </c>
      <c r="AV188" s="260"/>
    </row>
    <row r="189" spans="43:48" hidden="1">
      <c r="AQ189" s="260">
        <v>145</v>
      </c>
      <c r="AV189" s="260"/>
    </row>
    <row r="190" spans="43:48" hidden="1">
      <c r="AQ190" s="260">
        <v>146</v>
      </c>
      <c r="AV190" s="260"/>
    </row>
    <row r="191" spans="43:48" hidden="1">
      <c r="AQ191" s="260">
        <v>147</v>
      </c>
      <c r="AV191" s="260"/>
    </row>
    <row r="192" spans="43:48" hidden="1">
      <c r="AQ192" s="260">
        <v>148</v>
      </c>
      <c r="AV192" s="260"/>
    </row>
    <row r="193" spans="43:48" hidden="1">
      <c r="AQ193" s="260">
        <v>149</v>
      </c>
      <c r="AV193" s="260"/>
    </row>
    <row r="194" spans="43:48" hidden="1">
      <c r="AQ194" s="260">
        <v>150</v>
      </c>
      <c r="AV194" s="260"/>
    </row>
    <row r="195" spans="43:48" hidden="1">
      <c r="AQ195" s="260">
        <v>151</v>
      </c>
      <c r="AV195" s="260"/>
    </row>
    <row r="196" spans="43:48" hidden="1">
      <c r="AQ196" s="260">
        <v>152</v>
      </c>
      <c r="AV196" s="260"/>
    </row>
    <row r="197" spans="43:48" hidden="1">
      <c r="AQ197" s="260">
        <v>153</v>
      </c>
      <c r="AV197" s="260"/>
    </row>
    <row r="198" spans="43:48" hidden="1">
      <c r="AQ198" s="260">
        <v>154</v>
      </c>
      <c r="AV198" s="260"/>
    </row>
    <row r="199" spans="43:48" hidden="1">
      <c r="AQ199" s="260">
        <v>155</v>
      </c>
      <c r="AV199" s="260"/>
    </row>
    <row r="200" spans="43:48" hidden="1">
      <c r="AQ200" s="260">
        <v>156</v>
      </c>
      <c r="AV200" s="260"/>
    </row>
    <row r="201" spans="43:48" hidden="1">
      <c r="AQ201" s="260">
        <v>157</v>
      </c>
      <c r="AV201" s="260"/>
    </row>
    <row r="202" spans="43:48" hidden="1">
      <c r="AQ202" s="260">
        <v>158</v>
      </c>
      <c r="AV202" s="260"/>
    </row>
    <row r="203" spans="43:48" hidden="1">
      <c r="AQ203" s="260">
        <v>159</v>
      </c>
      <c r="AV203" s="260"/>
    </row>
    <row r="204" spans="43:48" hidden="1">
      <c r="AQ204" s="260">
        <v>160</v>
      </c>
      <c r="AV204" s="260"/>
    </row>
    <row r="205" spans="43:48" hidden="1">
      <c r="AQ205" s="260">
        <v>161</v>
      </c>
      <c r="AV205" s="260"/>
    </row>
    <row r="206" spans="43:48" hidden="1">
      <c r="AQ206" s="260">
        <v>162</v>
      </c>
      <c r="AV206" s="260"/>
    </row>
    <row r="207" spans="43:48" hidden="1">
      <c r="AQ207" s="260">
        <v>163</v>
      </c>
      <c r="AV207" s="260"/>
    </row>
    <row r="208" spans="43:48" hidden="1">
      <c r="AQ208" s="260">
        <v>164</v>
      </c>
      <c r="AV208" s="260"/>
    </row>
    <row r="209" spans="43:48" hidden="1">
      <c r="AQ209" s="260">
        <v>165</v>
      </c>
      <c r="AV209" s="260"/>
    </row>
    <row r="210" spans="43:48" hidden="1">
      <c r="AQ210" s="260">
        <v>166</v>
      </c>
      <c r="AV210" s="260"/>
    </row>
    <row r="211" spans="43:48" hidden="1">
      <c r="AQ211" s="260">
        <v>167</v>
      </c>
      <c r="AV211" s="260"/>
    </row>
    <row r="212" spans="43:48" hidden="1">
      <c r="AQ212" s="260">
        <v>168</v>
      </c>
      <c r="AV212" s="260"/>
    </row>
    <row r="213" spans="43:48" hidden="1">
      <c r="AQ213" s="260">
        <v>169</v>
      </c>
      <c r="AV213" s="260"/>
    </row>
    <row r="214" spans="43:48" hidden="1">
      <c r="AQ214" s="260">
        <v>170</v>
      </c>
      <c r="AV214" s="260"/>
    </row>
    <row r="215" spans="43:48" hidden="1">
      <c r="AQ215" s="260">
        <v>171</v>
      </c>
      <c r="AV215" s="260"/>
    </row>
    <row r="216" spans="43:48" hidden="1">
      <c r="AQ216" s="260">
        <v>172</v>
      </c>
      <c r="AV216" s="260"/>
    </row>
    <row r="217" spans="43:48" hidden="1">
      <c r="AQ217" s="260">
        <v>173</v>
      </c>
      <c r="AV217" s="260"/>
    </row>
    <row r="218" spans="43:48" hidden="1">
      <c r="AQ218" s="260">
        <v>174</v>
      </c>
      <c r="AV218" s="260"/>
    </row>
    <row r="219" spans="43:48" hidden="1">
      <c r="AQ219" s="260">
        <v>175</v>
      </c>
      <c r="AV219" s="260"/>
    </row>
    <row r="220" spans="43:48" hidden="1">
      <c r="AQ220" s="260">
        <v>176</v>
      </c>
      <c r="AV220" s="260"/>
    </row>
    <row r="221" spans="43:48" hidden="1">
      <c r="AQ221" s="260">
        <v>177</v>
      </c>
      <c r="AV221" s="260"/>
    </row>
    <row r="222" spans="43:48" hidden="1">
      <c r="AQ222" s="260">
        <v>178</v>
      </c>
      <c r="AV222" s="260"/>
    </row>
    <row r="223" spans="43:48" hidden="1">
      <c r="AQ223" s="260">
        <v>179</v>
      </c>
      <c r="AV223" s="260"/>
    </row>
    <row r="224" spans="43:48" hidden="1">
      <c r="AQ224" s="260">
        <v>180</v>
      </c>
      <c r="AV224" s="260"/>
    </row>
    <row r="225" spans="43:48" hidden="1">
      <c r="AQ225" s="260">
        <v>181</v>
      </c>
      <c r="AV225" s="260"/>
    </row>
    <row r="226" spans="43:48" hidden="1">
      <c r="AQ226" s="260">
        <v>182</v>
      </c>
      <c r="AV226" s="260"/>
    </row>
    <row r="227" spans="43:48" hidden="1">
      <c r="AQ227" s="260">
        <v>183</v>
      </c>
      <c r="AV227" s="260"/>
    </row>
    <row r="228" spans="43:48" hidden="1">
      <c r="AQ228" s="260">
        <v>184</v>
      </c>
      <c r="AV228" s="260"/>
    </row>
    <row r="229" spans="43:48" hidden="1">
      <c r="AQ229" s="260">
        <v>185</v>
      </c>
      <c r="AV229" s="260"/>
    </row>
    <row r="230" spans="43:48" hidden="1">
      <c r="AQ230" s="260">
        <v>186</v>
      </c>
      <c r="AV230" s="260"/>
    </row>
    <row r="231" spans="43:48" hidden="1">
      <c r="AQ231" s="260">
        <v>187</v>
      </c>
      <c r="AV231" s="260"/>
    </row>
    <row r="232" spans="43:48" hidden="1">
      <c r="AQ232" s="260">
        <v>188</v>
      </c>
      <c r="AV232" s="260"/>
    </row>
    <row r="233" spans="43:48" hidden="1">
      <c r="AQ233" s="260">
        <v>189</v>
      </c>
      <c r="AV233" s="260"/>
    </row>
    <row r="234" spans="43:48" hidden="1">
      <c r="AQ234" s="260">
        <v>190</v>
      </c>
      <c r="AV234" s="260"/>
    </row>
    <row r="235" spans="43:48" hidden="1">
      <c r="AQ235" s="260">
        <v>191</v>
      </c>
      <c r="AV235" s="260"/>
    </row>
    <row r="236" spans="43:48" hidden="1">
      <c r="AQ236" s="260">
        <v>192</v>
      </c>
      <c r="AV236" s="260"/>
    </row>
    <row r="237" spans="43:48" hidden="1">
      <c r="AQ237" s="260">
        <v>193</v>
      </c>
      <c r="AV237" s="260"/>
    </row>
    <row r="238" spans="43:48" hidden="1">
      <c r="AQ238" s="260">
        <v>194</v>
      </c>
      <c r="AV238" s="260"/>
    </row>
    <row r="239" spans="43:48" hidden="1">
      <c r="AQ239" s="260">
        <v>195</v>
      </c>
      <c r="AV239" s="260"/>
    </row>
    <row r="240" spans="43:48" hidden="1">
      <c r="AQ240" s="260">
        <v>196</v>
      </c>
      <c r="AV240" s="260"/>
    </row>
    <row r="241" spans="43:48" hidden="1">
      <c r="AQ241" s="260">
        <v>197</v>
      </c>
      <c r="AV241" s="260"/>
    </row>
    <row r="242" spans="43:48" hidden="1">
      <c r="AQ242" s="260">
        <v>198</v>
      </c>
      <c r="AV242" s="260"/>
    </row>
    <row r="243" spans="43:48" hidden="1">
      <c r="AQ243" s="260">
        <v>199</v>
      </c>
      <c r="AV243" s="260"/>
    </row>
    <row r="244" spans="43:48" hidden="1">
      <c r="AQ244" s="260">
        <v>200</v>
      </c>
      <c r="AV244" s="260"/>
    </row>
    <row r="245" spans="43:48" hidden="1">
      <c r="AQ245" s="260">
        <v>201</v>
      </c>
      <c r="AV245" s="260"/>
    </row>
    <row r="246" spans="43:48" hidden="1">
      <c r="AQ246" s="260">
        <v>202</v>
      </c>
      <c r="AV246" s="260"/>
    </row>
    <row r="247" spans="43:48" hidden="1">
      <c r="AQ247" s="260">
        <v>203</v>
      </c>
      <c r="AV247" s="260"/>
    </row>
    <row r="248" spans="43:48" hidden="1">
      <c r="AQ248" s="260">
        <v>204</v>
      </c>
      <c r="AV248" s="260"/>
    </row>
    <row r="249" spans="43:48" hidden="1">
      <c r="AQ249" s="260">
        <v>205</v>
      </c>
      <c r="AV249" s="260"/>
    </row>
    <row r="250" spans="43:48" hidden="1">
      <c r="AQ250" s="260">
        <v>206</v>
      </c>
      <c r="AV250" s="260"/>
    </row>
    <row r="251" spans="43:48" hidden="1">
      <c r="AQ251" s="260">
        <v>207</v>
      </c>
      <c r="AV251" s="260"/>
    </row>
    <row r="252" spans="43:48" hidden="1">
      <c r="AQ252" s="260">
        <v>208</v>
      </c>
      <c r="AV252" s="260"/>
    </row>
    <row r="253" spans="43:48" hidden="1">
      <c r="AQ253" s="260">
        <v>209</v>
      </c>
      <c r="AV253" s="260"/>
    </row>
    <row r="254" spans="43:48" hidden="1">
      <c r="AQ254" s="260">
        <v>210</v>
      </c>
      <c r="AV254" s="260"/>
    </row>
    <row r="255" spans="43:48" hidden="1">
      <c r="AQ255" s="260">
        <v>211</v>
      </c>
      <c r="AV255" s="260"/>
    </row>
    <row r="256" spans="43:48" hidden="1">
      <c r="AQ256" s="260">
        <v>212</v>
      </c>
      <c r="AV256" s="260"/>
    </row>
    <row r="257" spans="43:48" hidden="1">
      <c r="AQ257" s="260">
        <v>213</v>
      </c>
      <c r="AV257" s="260"/>
    </row>
    <row r="258" spans="43:48" hidden="1">
      <c r="AQ258" s="260">
        <v>214</v>
      </c>
      <c r="AV258" s="260"/>
    </row>
    <row r="259" spans="43:48" hidden="1">
      <c r="AQ259" s="260">
        <v>215</v>
      </c>
      <c r="AV259" s="260"/>
    </row>
    <row r="260" spans="43:48" hidden="1">
      <c r="AQ260" s="260">
        <v>216</v>
      </c>
      <c r="AV260" s="260"/>
    </row>
    <row r="261" spans="43:48" hidden="1">
      <c r="AQ261" s="260">
        <v>217</v>
      </c>
      <c r="AV261" s="260"/>
    </row>
    <row r="262" spans="43:48" hidden="1">
      <c r="AQ262" s="260">
        <v>218</v>
      </c>
      <c r="AV262" s="260"/>
    </row>
    <row r="263" spans="43:48" hidden="1">
      <c r="AQ263" s="260">
        <v>219</v>
      </c>
      <c r="AV263" s="260"/>
    </row>
    <row r="264" spans="43:48" hidden="1">
      <c r="AQ264" s="260">
        <v>220</v>
      </c>
      <c r="AV264" s="260"/>
    </row>
    <row r="265" spans="43:48" hidden="1">
      <c r="AQ265" s="260">
        <v>221</v>
      </c>
      <c r="AV265" s="260"/>
    </row>
    <row r="266" spans="43:48" hidden="1">
      <c r="AQ266" s="260">
        <v>222</v>
      </c>
      <c r="AV266" s="260"/>
    </row>
    <row r="267" spans="43:48" hidden="1">
      <c r="AQ267" s="260">
        <v>223</v>
      </c>
      <c r="AV267" s="260"/>
    </row>
    <row r="268" spans="43:48" hidden="1">
      <c r="AQ268" s="260">
        <v>224</v>
      </c>
      <c r="AV268" s="260"/>
    </row>
    <row r="269" spans="43:48" hidden="1">
      <c r="AQ269" s="260">
        <v>225</v>
      </c>
      <c r="AV269" s="260"/>
    </row>
    <row r="270" spans="43:48" hidden="1">
      <c r="AQ270" s="260">
        <v>226</v>
      </c>
      <c r="AV270" s="260"/>
    </row>
    <row r="271" spans="43:48" hidden="1">
      <c r="AQ271" s="260">
        <v>227</v>
      </c>
      <c r="AV271" s="260"/>
    </row>
    <row r="272" spans="43:48" hidden="1">
      <c r="AQ272" s="260">
        <v>228</v>
      </c>
      <c r="AV272" s="260"/>
    </row>
    <row r="273" spans="43:48" hidden="1">
      <c r="AQ273" s="260">
        <v>229</v>
      </c>
      <c r="AV273" s="260"/>
    </row>
    <row r="274" spans="43:48" hidden="1">
      <c r="AQ274" s="260">
        <v>230</v>
      </c>
      <c r="AV274" s="260"/>
    </row>
    <row r="275" spans="43:48" hidden="1">
      <c r="AQ275" s="260">
        <v>231</v>
      </c>
      <c r="AV275" s="260"/>
    </row>
    <row r="276" spans="43:48" hidden="1">
      <c r="AQ276" s="260">
        <v>232</v>
      </c>
      <c r="AV276" s="260"/>
    </row>
    <row r="277" spans="43:48" hidden="1">
      <c r="AQ277" s="260">
        <v>233</v>
      </c>
      <c r="AV277" s="260"/>
    </row>
    <row r="278" spans="43:48" hidden="1">
      <c r="AQ278" s="260">
        <v>234</v>
      </c>
      <c r="AV278" s="260"/>
    </row>
    <row r="279" spans="43:48" hidden="1">
      <c r="AQ279" s="260">
        <v>235</v>
      </c>
      <c r="AV279" s="260"/>
    </row>
    <row r="280" spans="43:48" hidden="1">
      <c r="AQ280" s="260">
        <v>236</v>
      </c>
      <c r="AV280" s="260"/>
    </row>
    <row r="281" spans="43:48" hidden="1">
      <c r="AQ281" s="260">
        <v>237</v>
      </c>
      <c r="AV281" s="260"/>
    </row>
    <row r="282" spans="43:48" hidden="1">
      <c r="AQ282" s="260">
        <v>238</v>
      </c>
      <c r="AV282" s="260"/>
    </row>
    <row r="283" spans="43:48" hidden="1">
      <c r="AQ283" s="260">
        <v>239</v>
      </c>
      <c r="AV283" s="260"/>
    </row>
    <row r="284" spans="43:48" hidden="1">
      <c r="AQ284" s="260">
        <v>240</v>
      </c>
      <c r="AV284" s="260"/>
    </row>
    <row r="285" spans="43:48" hidden="1">
      <c r="AQ285" s="260">
        <v>241</v>
      </c>
      <c r="AV285" s="260"/>
    </row>
    <row r="286" spans="43:48" hidden="1">
      <c r="AQ286" s="260">
        <v>242</v>
      </c>
      <c r="AV286" s="260"/>
    </row>
    <row r="287" spans="43:48" hidden="1">
      <c r="AQ287" s="260">
        <v>243</v>
      </c>
      <c r="AV287" s="260"/>
    </row>
    <row r="288" spans="43:48" hidden="1">
      <c r="AQ288" s="260">
        <v>244</v>
      </c>
      <c r="AV288" s="260"/>
    </row>
    <row r="289" spans="43:48" hidden="1">
      <c r="AQ289" s="260">
        <v>245</v>
      </c>
      <c r="AV289" s="260"/>
    </row>
    <row r="290" spans="43:48" hidden="1">
      <c r="AQ290" s="260">
        <v>246</v>
      </c>
      <c r="AV290" s="260"/>
    </row>
    <row r="291" spans="43:48" hidden="1">
      <c r="AQ291" s="260">
        <v>247</v>
      </c>
      <c r="AV291" s="260"/>
    </row>
    <row r="292" spans="43:48" hidden="1">
      <c r="AQ292" s="260">
        <v>248</v>
      </c>
      <c r="AV292" s="260"/>
    </row>
    <row r="293" spans="43:48" hidden="1">
      <c r="AQ293" s="260">
        <v>249</v>
      </c>
      <c r="AV293" s="260"/>
    </row>
    <row r="294" spans="43:48" hidden="1">
      <c r="AQ294" s="260">
        <v>250</v>
      </c>
      <c r="AV294" s="260"/>
    </row>
    <row r="295" spans="43:48" hidden="1">
      <c r="AQ295" s="260">
        <v>251</v>
      </c>
      <c r="AV295" s="260"/>
    </row>
    <row r="296" spans="43:48" hidden="1">
      <c r="AQ296" s="260">
        <v>252</v>
      </c>
      <c r="AV296" s="260"/>
    </row>
    <row r="297" spans="43:48" hidden="1">
      <c r="AQ297" s="260">
        <v>253</v>
      </c>
      <c r="AV297" s="260"/>
    </row>
    <row r="298" spans="43:48" hidden="1">
      <c r="AQ298" s="260">
        <v>254</v>
      </c>
      <c r="AV298" s="260"/>
    </row>
    <row r="299" spans="43:48" hidden="1">
      <c r="AQ299" s="260">
        <v>255</v>
      </c>
      <c r="AV299" s="260"/>
    </row>
    <row r="300" spans="43:48" hidden="1">
      <c r="AQ300" s="260">
        <v>256</v>
      </c>
      <c r="AV300" s="260"/>
    </row>
    <row r="301" spans="43:48" hidden="1">
      <c r="AQ301" s="260">
        <v>257</v>
      </c>
      <c r="AV301" s="260"/>
    </row>
    <row r="302" spans="43:48" hidden="1">
      <c r="AQ302" s="260">
        <v>258</v>
      </c>
      <c r="AV302" s="260"/>
    </row>
    <row r="303" spans="43:48" hidden="1">
      <c r="AQ303" s="260">
        <v>259</v>
      </c>
      <c r="AV303" s="260"/>
    </row>
    <row r="304" spans="43:48" hidden="1">
      <c r="AQ304" s="260">
        <v>260</v>
      </c>
      <c r="AV304" s="260"/>
    </row>
    <row r="305" spans="43:48" hidden="1">
      <c r="AQ305" s="260">
        <v>261</v>
      </c>
      <c r="AV305" s="260"/>
    </row>
    <row r="306" spans="43:48" hidden="1">
      <c r="AQ306" s="260">
        <v>262</v>
      </c>
      <c r="AV306" s="260"/>
    </row>
    <row r="307" spans="43:48" hidden="1">
      <c r="AQ307" s="260">
        <v>263</v>
      </c>
      <c r="AV307" s="260"/>
    </row>
    <row r="308" spans="43:48" hidden="1">
      <c r="AQ308" s="260">
        <v>264</v>
      </c>
      <c r="AV308" s="260"/>
    </row>
    <row r="309" spans="43:48" hidden="1">
      <c r="AQ309" s="260">
        <v>265</v>
      </c>
      <c r="AV309" s="260"/>
    </row>
    <row r="310" spans="43:48" hidden="1">
      <c r="AQ310" s="260">
        <v>266</v>
      </c>
      <c r="AV310" s="260"/>
    </row>
    <row r="311" spans="43:48" hidden="1">
      <c r="AQ311" s="260">
        <v>267</v>
      </c>
      <c r="AV311" s="260"/>
    </row>
    <row r="312" spans="43:48" hidden="1">
      <c r="AQ312" s="260">
        <v>268</v>
      </c>
      <c r="AV312" s="260"/>
    </row>
    <row r="313" spans="43:48" hidden="1">
      <c r="AQ313" s="260">
        <v>269</v>
      </c>
      <c r="AV313" s="260"/>
    </row>
    <row r="314" spans="43:48" hidden="1">
      <c r="AQ314" s="260">
        <v>270</v>
      </c>
      <c r="AV314" s="260"/>
    </row>
    <row r="315" spans="43:48" hidden="1">
      <c r="AQ315" s="260">
        <v>271</v>
      </c>
      <c r="AV315" s="260"/>
    </row>
    <row r="316" spans="43:48" hidden="1">
      <c r="AQ316" s="260">
        <v>272</v>
      </c>
      <c r="AV316" s="260"/>
    </row>
    <row r="317" spans="43:48" hidden="1">
      <c r="AQ317" s="260">
        <v>273</v>
      </c>
      <c r="AV317" s="260"/>
    </row>
    <row r="318" spans="43:48" hidden="1">
      <c r="AQ318" s="260">
        <v>274</v>
      </c>
      <c r="AV318" s="260"/>
    </row>
    <row r="319" spans="43:48" hidden="1">
      <c r="AQ319" s="260">
        <v>275</v>
      </c>
      <c r="AV319" s="260"/>
    </row>
    <row r="320" spans="43:48" hidden="1">
      <c r="AQ320" s="260">
        <v>276</v>
      </c>
      <c r="AV320" s="260"/>
    </row>
    <row r="321" spans="43:48" hidden="1">
      <c r="AQ321" s="260">
        <v>277</v>
      </c>
      <c r="AV321" s="260"/>
    </row>
    <row r="322" spans="43:48" hidden="1">
      <c r="AQ322" s="260">
        <v>278</v>
      </c>
      <c r="AV322" s="260"/>
    </row>
    <row r="323" spans="43:48" hidden="1">
      <c r="AQ323" s="260">
        <v>279</v>
      </c>
      <c r="AV323" s="260"/>
    </row>
    <row r="324" spans="43:48" hidden="1">
      <c r="AQ324" s="260">
        <v>280</v>
      </c>
      <c r="AV324" s="260"/>
    </row>
    <row r="325" spans="43:48" hidden="1">
      <c r="AQ325" s="260">
        <v>281</v>
      </c>
      <c r="AV325" s="260"/>
    </row>
    <row r="326" spans="43:48" hidden="1">
      <c r="AQ326" s="260">
        <v>282</v>
      </c>
      <c r="AV326" s="260"/>
    </row>
    <row r="327" spans="43:48" hidden="1">
      <c r="AQ327" s="260">
        <v>283</v>
      </c>
      <c r="AV327" s="260"/>
    </row>
    <row r="328" spans="43:48" hidden="1">
      <c r="AQ328" s="260">
        <v>284</v>
      </c>
      <c r="AV328" s="260"/>
    </row>
    <row r="329" spans="43:48" hidden="1">
      <c r="AQ329" s="260">
        <v>285</v>
      </c>
      <c r="AV329" s="260"/>
    </row>
    <row r="330" spans="43:48" hidden="1">
      <c r="AQ330" s="260">
        <v>286</v>
      </c>
      <c r="AV330" s="260"/>
    </row>
    <row r="331" spans="43:48" hidden="1">
      <c r="AQ331" s="260">
        <v>287</v>
      </c>
      <c r="AV331" s="260"/>
    </row>
    <row r="332" spans="43:48" hidden="1">
      <c r="AQ332" s="260">
        <v>288</v>
      </c>
      <c r="AV332" s="260"/>
    </row>
    <row r="333" spans="43:48" hidden="1">
      <c r="AQ333" s="260">
        <v>289</v>
      </c>
      <c r="AV333" s="260"/>
    </row>
    <row r="334" spans="43:48" hidden="1">
      <c r="AQ334" s="260">
        <v>290</v>
      </c>
      <c r="AV334" s="260"/>
    </row>
    <row r="335" spans="43:48" hidden="1">
      <c r="AQ335" s="260">
        <v>291</v>
      </c>
      <c r="AV335" s="260"/>
    </row>
    <row r="336" spans="43:48" hidden="1">
      <c r="AQ336" s="260">
        <v>292</v>
      </c>
      <c r="AV336" s="260"/>
    </row>
    <row r="337" spans="43:48" hidden="1">
      <c r="AQ337" s="260">
        <v>293</v>
      </c>
      <c r="AV337" s="260"/>
    </row>
    <row r="338" spans="43:48" hidden="1">
      <c r="AQ338" s="260">
        <v>294</v>
      </c>
      <c r="AV338" s="260"/>
    </row>
    <row r="339" spans="43:48" hidden="1">
      <c r="AQ339" s="260">
        <v>295</v>
      </c>
      <c r="AV339" s="260"/>
    </row>
    <row r="340" spans="43:48" hidden="1">
      <c r="AQ340" s="260">
        <v>296</v>
      </c>
      <c r="AV340" s="260"/>
    </row>
    <row r="341" spans="43:48" hidden="1">
      <c r="AQ341" s="260">
        <v>297</v>
      </c>
      <c r="AV341" s="260"/>
    </row>
    <row r="342" spans="43:48" hidden="1">
      <c r="AQ342" s="260">
        <v>298</v>
      </c>
      <c r="AV342" s="260"/>
    </row>
    <row r="343" spans="43:48" hidden="1">
      <c r="AQ343" s="260">
        <v>299</v>
      </c>
      <c r="AV343" s="260"/>
    </row>
    <row r="344" spans="43:48" hidden="1">
      <c r="AQ344" s="260">
        <v>300</v>
      </c>
      <c r="AV344" s="260"/>
    </row>
  </sheetData>
  <sheetProtection password="E8FA" sheet="1" objects="1" scenarios="1" formatCells="0" formatColumns="0" formatRows="0" selectLockedCells="1"/>
  <mergeCells count="81">
    <mergeCell ref="F15:J15"/>
    <mergeCell ref="AL12:AO38"/>
    <mergeCell ref="AL4:AO5"/>
    <mergeCell ref="K4:K6"/>
    <mergeCell ref="L4:L6"/>
    <mergeCell ref="M4:M6"/>
    <mergeCell ref="N4:N6"/>
    <mergeCell ref="O4:O6"/>
    <mergeCell ref="P4:P6"/>
    <mergeCell ref="Q4:Q6"/>
    <mergeCell ref="AD4:AE5"/>
    <mergeCell ref="AF4:AG5"/>
    <mergeCell ref="R5:T5"/>
    <mergeCell ref="U5:W5"/>
    <mergeCell ref="K38:Q38"/>
    <mergeCell ref="X4:AC4"/>
    <mergeCell ref="AM3:AO3"/>
    <mergeCell ref="AD3:AL3"/>
    <mergeCell ref="R4:W4"/>
    <mergeCell ref="AL11:AO11"/>
    <mergeCell ref="AL9:AL10"/>
    <mergeCell ref="AM9:AM10"/>
    <mergeCell ref="AN9:AN10"/>
    <mergeCell ref="B23:D23"/>
    <mergeCell ref="B22:D22"/>
    <mergeCell ref="B21:D21"/>
    <mergeCell ref="B20:D20"/>
    <mergeCell ref="B19:D19"/>
    <mergeCell ref="E23:G23"/>
    <mergeCell ref="E22:G22"/>
    <mergeCell ref="E21:G21"/>
    <mergeCell ref="E20:G20"/>
    <mergeCell ref="E19:G19"/>
    <mergeCell ref="H20:J20"/>
    <mergeCell ref="H19:J19"/>
    <mergeCell ref="H23:J23"/>
    <mergeCell ref="H22:J22"/>
    <mergeCell ref="AY4:AZ4"/>
    <mergeCell ref="AR4:AS4"/>
    <mergeCell ref="AT4:AU4"/>
    <mergeCell ref="AO9:AO10"/>
    <mergeCell ref="AL7:AL8"/>
    <mergeCell ref="AM7:AM8"/>
    <mergeCell ref="AN7:AN8"/>
    <mergeCell ref="AO7:AO8"/>
    <mergeCell ref="X5:Z5"/>
    <mergeCell ref="AA5:AC5"/>
    <mergeCell ref="B14:J14"/>
    <mergeCell ref="B15:E15"/>
    <mergeCell ref="E27:G27"/>
    <mergeCell ref="H27:J27"/>
    <mergeCell ref="AP2:AP38"/>
    <mergeCell ref="AW4:AX4"/>
    <mergeCell ref="B3:J3"/>
    <mergeCell ref="H4:H8"/>
    <mergeCell ref="G4:G8"/>
    <mergeCell ref="F4:F8"/>
    <mergeCell ref="D5:D8"/>
    <mergeCell ref="J5:J8"/>
    <mergeCell ref="B24:D24"/>
    <mergeCell ref="E24:G24"/>
    <mergeCell ref="AH4:AI5"/>
    <mergeCell ref="AJ4:AK5"/>
    <mergeCell ref="H24:J24"/>
    <mergeCell ref="H21:J21"/>
    <mergeCell ref="B39:AP39"/>
    <mergeCell ref="A2:A39"/>
    <mergeCell ref="A1:AP1"/>
    <mergeCell ref="B2:AO2"/>
    <mergeCell ref="E5:E8"/>
    <mergeCell ref="B27:D27"/>
    <mergeCell ref="B18:J18"/>
    <mergeCell ref="B26:D26"/>
    <mergeCell ref="E26:G26"/>
    <mergeCell ref="H26:J26"/>
    <mergeCell ref="K3:AC3"/>
    <mergeCell ref="B25:D25"/>
    <mergeCell ref="E25:G25"/>
    <mergeCell ref="H25:J25"/>
    <mergeCell ref="C4:C8"/>
    <mergeCell ref="B4:B8"/>
  </mergeCells>
  <conditionalFormatting sqref="P7:P37 R7:AK37">
    <cfRule type="cellIs" dxfId="26" priority="18" operator="equal">
      <formula>0</formula>
    </cfRule>
  </conditionalFormatting>
  <conditionalFormatting sqref="K7:AK37">
    <cfRule type="expression" dxfId="25" priority="19">
      <formula>$O7="Holiday"</formula>
    </cfRule>
  </conditionalFormatting>
  <conditionalFormatting sqref="AQ38 AR7:AU37 AW7:AZ37">
    <cfRule type="cellIs" dxfId="24" priority="7" operator="greaterThan">
      <formula>0</formula>
    </cfRule>
  </conditionalFormatting>
  <conditionalFormatting sqref="D16:E16 F15:F16 G16:J16 D10:J13">
    <cfRule type="cellIs" dxfId="23" priority="2" operator="equal">
      <formula>0</formula>
    </cfRule>
  </conditionalFormatting>
  <dataValidations count="2">
    <dataValidation type="list" allowBlank="1" showInputMessage="1" showErrorMessage="1" sqref="N7:N37">
      <formula1>$AQ$3:$AQ$43</formula1>
    </dataValidation>
    <dataValidation type="list" allowBlank="1" showInputMessage="1" showErrorMessage="1" sqref="P7:P37">
      <formula1>$E$20:$E$27</formula1>
    </dataValidation>
  </dataValidations>
  <pageMargins left="0.45" right="0.19" top="0.21" bottom="0.18" header="0.19" footer="0.16"/>
  <pageSetup scale="7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SW344"/>
  <sheetViews>
    <sheetView showGridLines="0" zoomScale="85" zoomScaleNormal="85" workbookViewId="0">
      <selection activeCell="AJ9" sqref="AJ9"/>
    </sheetView>
  </sheetViews>
  <sheetFormatPr defaultColWidth="0" defaultRowHeight="0" customHeight="1" zeroHeight="1"/>
  <cols>
    <col min="1" max="1" width="1.28515625" style="18" customWidth="1"/>
    <col min="2" max="2" width="9.7109375" style="18" customWidth="1"/>
    <col min="3" max="3" width="10.42578125" style="18" customWidth="1"/>
    <col min="4" max="4" width="11.5703125" style="18" customWidth="1"/>
    <col min="5" max="5" width="10.42578125" style="18" customWidth="1"/>
    <col min="6" max="6" width="9.5703125" style="18" customWidth="1"/>
    <col min="7" max="7" width="9.85546875" style="18" customWidth="1"/>
    <col min="8" max="8" width="9.5703125" style="18" customWidth="1"/>
    <col min="9" max="9" width="9" style="18" hidden="1" customWidth="1"/>
    <col min="10" max="10" width="12" style="18" customWidth="1"/>
    <col min="11" max="11" width="8.28515625" style="18" hidden="1" customWidth="1"/>
    <col min="12" max="12" width="4.42578125" style="18" customWidth="1"/>
    <col min="13" max="15" width="10.85546875" style="18" customWidth="1"/>
    <col min="16" max="16" width="10" style="18" hidden="1" customWidth="1"/>
    <col min="17" max="17" width="11.42578125" style="18" customWidth="1"/>
    <col min="18" max="18" width="9.140625" style="18" hidden="1" customWidth="1"/>
    <col min="19" max="23" width="6.85546875" style="18" hidden="1" customWidth="1"/>
    <col min="24" max="24" width="6.140625" style="18" hidden="1" customWidth="1"/>
    <col min="25" max="27" width="6.85546875" style="18" hidden="1" customWidth="1"/>
    <col min="28" max="28" width="6.140625" style="18" hidden="1" customWidth="1"/>
    <col min="29" max="33" width="7.140625" style="18" customWidth="1"/>
    <col min="34" max="34" width="6.140625" style="18" customWidth="1"/>
    <col min="35" max="37" width="7.140625" style="18" customWidth="1"/>
    <col min="38" max="38" width="6.140625" style="18" customWidth="1"/>
    <col min="39" max="39" width="17.85546875" style="168" customWidth="1"/>
    <col min="40" max="40" width="15.85546875" style="168" customWidth="1"/>
    <col min="41" max="42" width="11.5703125" style="168" customWidth="1"/>
    <col min="43" max="46" width="7.7109375" style="18" customWidth="1"/>
    <col min="47" max="47" width="6.28515625" style="18" customWidth="1"/>
    <col min="48" max="52" width="12.7109375" style="18" hidden="1" customWidth="1"/>
    <col min="53" max="53" width="2.85546875" style="18" hidden="1" customWidth="1"/>
    <col min="54" max="58" width="12.7109375" style="18" hidden="1" customWidth="1"/>
    <col min="59" max="59" width="12.7109375" style="70" hidden="1" customWidth="1"/>
    <col min="60" max="517" width="12.7109375" style="18" hidden="1" customWidth="1"/>
    <col min="518" max="16384" width="4.7109375" style="18" hidden="1"/>
  </cols>
  <sheetData>
    <row r="1" spans="1:64" ht="6" customHeight="1" thickBot="1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</row>
    <row r="2" spans="1:64" ht="38.25" customHeight="1" thickBot="1">
      <c r="A2" s="462"/>
      <c r="B2" s="521" t="str">
        <f>CONCATENATE('School Info'!B4,'School Info'!D4)</f>
        <v>dk;kZy;%jktdh; mPp ek/;fed fo|ky; jk;eyok³k ¼ckfi.kh½] tks/kiqj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522"/>
      <c r="AQ2" s="522"/>
      <c r="AR2" s="522"/>
      <c r="AS2" s="522"/>
      <c r="AT2" s="523"/>
      <c r="AU2" s="550"/>
    </row>
    <row r="3" spans="1:64" ht="31.5" customHeight="1" thickBot="1">
      <c r="A3" s="462"/>
      <c r="B3" s="552" t="s">
        <v>304</v>
      </c>
      <c r="C3" s="553"/>
      <c r="D3" s="553"/>
      <c r="E3" s="553"/>
      <c r="F3" s="553"/>
      <c r="G3" s="553"/>
      <c r="H3" s="553"/>
      <c r="I3" s="553"/>
      <c r="J3" s="554"/>
      <c r="K3" s="259"/>
      <c r="L3" s="533" t="s">
        <v>122</v>
      </c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  <c r="X3" s="534"/>
      <c r="Y3" s="534"/>
      <c r="Z3" s="534"/>
      <c r="AA3" s="534"/>
      <c r="AB3" s="534"/>
      <c r="AC3" s="534"/>
      <c r="AD3" s="534"/>
      <c r="AE3" s="534"/>
      <c r="AF3" s="534"/>
      <c r="AG3" s="534"/>
      <c r="AH3" s="534"/>
      <c r="AI3" s="534"/>
      <c r="AJ3" s="534"/>
      <c r="AK3" s="534"/>
      <c r="AL3" s="534"/>
      <c r="AM3" s="604"/>
      <c r="AN3" s="604"/>
      <c r="AO3" s="604"/>
      <c r="AP3" s="604"/>
      <c r="AQ3" s="604"/>
      <c r="AR3" s="602" t="str">
        <f>CONCATENATE('School Info'!I6,-'School Info'!K6)</f>
        <v>December-2022</v>
      </c>
      <c r="AS3" s="602"/>
      <c r="AT3" s="603"/>
      <c r="AU3" s="550"/>
      <c r="AV3" s="260" t="s">
        <v>173</v>
      </c>
      <c r="BA3" s="260"/>
    </row>
    <row r="4" spans="1:64" s="71" customFormat="1" ht="25.5" customHeight="1">
      <c r="A4" s="462"/>
      <c r="B4" s="653" t="s">
        <v>312</v>
      </c>
      <c r="C4" s="654"/>
      <c r="D4" s="113">
        <v>44652</v>
      </c>
      <c r="E4" s="107">
        <f>D4</f>
        <v>44652</v>
      </c>
      <c r="F4" s="555" t="s">
        <v>310</v>
      </c>
      <c r="G4" s="555" t="s">
        <v>297</v>
      </c>
      <c r="H4" s="555" t="s">
        <v>196</v>
      </c>
      <c r="I4" s="25" t="s">
        <v>192</v>
      </c>
      <c r="J4" s="185">
        <v>44652</v>
      </c>
      <c r="K4" s="136"/>
      <c r="L4" s="626" t="s">
        <v>107</v>
      </c>
      <c r="M4" s="629" t="s">
        <v>81</v>
      </c>
      <c r="N4" s="632" t="s">
        <v>127</v>
      </c>
      <c r="O4" s="635" t="s">
        <v>247</v>
      </c>
      <c r="P4" s="638" t="s">
        <v>174</v>
      </c>
      <c r="Q4" s="641" t="s">
        <v>246</v>
      </c>
      <c r="R4" s="682" t="s">
        <v>113</v>
      </c>
      <c r="S4" s="681" t="s">
        <v>299</v>
      </c>
      <c r="T4" s="606"/>
      <c r="U4" s="606"/>
      <c r="V4" s="606"/>
      <c r="W4" s="606"/>
      <c r="X4" s="606"/>
      <c r="Y4" s="606"/>
      <c r="Z4" s="606"/>
      <c r="AA4" s="606"/>
      <c r="AB4" s="685"/>
      <c r="AC4" s="681" t="s">
        <v>124</v>
      </c>
      <c r="AD4" s="606"/>
      <c r="AE4" s="606"/>
      <c r="AF4" s="606"/>
      <c r="AG4" s="606"/>
      <c r="AH4" s="606"/>
      <c r="AI4" s="606"/>
      <c r="AJ4" s="606"/>
      <c r="AK4" s="606"/>
      <c r="AL4" s="607"/>
      <c r="AM4" s="690" t="s">
        <v>260</v>
      </c>
      <c r="AN4" s="690" t="s">
        <v>346</v>
      </c>
      <c r="AO4" s="568" t="s">
        <v>405</v>
      </c>
      <c r="AP4" s="569"/>
      <c r="AQ4" s="692" t="s">
        <v>309</v>
      </c>
      <c r="AR4" s="622"/>
      <c r="AS4" s="622"/>
      <c r="AT4" s="623"/>
      <c r="AU4" s="550"/>
      <c r="AV4" s="260" t="s">
        <v>143</v>
      </c>
      <c r="AW4" s="551" t="s">
        <v>199</v>
      </c>
      <c r="AX4" s="551"/>
      <c r="AY4" s="551" t="s">
        <v>200</v>
      </c>
      <c r="AZ4" s="551"/>
      <c r="BA4" s="260"/>
      <c r="BB4" s="551" t="s">
        <v>199</v>
      </c>
      <c r="BC4" s="551"/>
      <c r="BD4" s="551" t="s">
        <v>200</v>
      </c>
      <c r="BE4" s="551"/>
      <c r="BG4" s="260"/>
    </row>
    <row r="5" spans="1:64" s="71" customFormat="1" ht="22.5" customHeight="1" thickBot="1">
      <c r="A5" s="462"/>
      <c r="B5" s="655"/>
      <c r="C5" s="656"/>
      <c r="D5" s="558" t="s">
        <v>195</v>
      </c>
      <c r="E5" s="524" t="s">
        <v>296</v>
      </c>
      <c r="F5" s="556"/>
      <c r="G5" s="556"/>
      <c r="H5" s="556"/>
      <c r="I5" s="26"/>
      <c r="J5" s="686" t="s">
        <v>197</v>
      </c>
      <c r="K5" s="108"/>
      <c r="L5" s="627"/>
      <c r="M5" s="630"/>
      <c r="N5" s="633"/>
      <c r="O5" s="636"/>
      <c r="P5" s="639"/>
      <c r="Q5" s="642"/>
      <c r="R5" s="683"/>
      <c r="S5" s="680" t="s">
        <v>123</v>
      </c>
      <c r="T5" s="590"/>
      <c r="U5" s="590"/>
      <c r="V5" s="590"/>
      <c r="W5" s="590"/>
      <c r="X5" s="590"/>
      <c r="Y5" s="591" t="s">
        <v>68</v>
      </c>
      <c r="Z5" s="592"/>
      <c r="AA5" s="592"/>
      <c r="AB5" s="592"/>
      <c r="AC5" s="680" t="s">
        <v>123</v>
      </c>
      <c r="AD5" s="590"/>
      <c r="AE5" s="590"/>
      <c r="AF5" s="590"/>
      <c r="AG5" s="590"/>
      <c r="AH5" s="590"/>
      <c r="AI5" s="591" t="s">
        <v>68</v>
      </c>
      <c r="AJ5" s="592"/>
      <c r="AK5" s="592"/>
      <c r="AL5" s="593"/>
      <c r="AM5" s="691"/>
      <c r="AN5" s="691"/>
      <c r="AO5" s="570"/>
      <c r="AP5" s="571"/>
      <c r="AQ5" s="693"/>
      <c r="AR5" s="624"/>
      <c r="AS5" s="624"/>
      <c r="AT5" s="625"/>
      <c r="AU5" s="550"/>
      <c r="AV5" s="260" t="s">
        <v>144</v>
      </c>
      <c r="AW5" s="71" t="s">
        <v>201</v>
      </c>
      <c r="AX5" s="71" t="s">
        <v>314</v>
      </c>
      <c r="AY5" s="71" t="s">
        <v>201</v>
      </c>
      <c r="AZ5" s="71" t="s">
        <v>314</v>
      </c>
      <c r="BA5" s="260"/>
      <c r="BB5" s="71" t="s">
        <v>201</v>
      </c>
      <c r="BC5" s="71" t="s">
        <v>314</v>
      </c>
      <c r="BD5" s="71" t="s">
        <v>201</v>
      </c>
      <c r="BE5" s="71" t="s">
        <v>314</v>
      </c>
      <c r="BG5" s="260"/>
    </row>
    <row r="6" spans="1:64" s="71" customFormat="1" ht="21.75" customHeight="1" thickBot="1">
      <c r="A6" s="462"/>
      <c r="B6" s="655"/>
      <c r="C6" s="656"/>
      <c r="D6" s="558"/>
      <c r="E6" s="524"/>
      <c r="F6" s="556"/>
      <c r="G6" s="556"/>
      <c r="H6" s="556"/>
      <c r="I6" s="26"/>
      <c r="J6" s="686"/>
      <c r="K6" s="108"/>
      <c r="L6" s="628"/>
      <c r="M6" s="631"/>
      <c r="N6" s="634"/>
      <c r="O6" s="637"/>
      <c r="P6" s="640"/>
      <c r="Q6" s="643"/>
      <c r="R6" s="684"/>
      <c r="S6" s="263" t="s">
        <v>348</v>
      </c>
      <c r="T6" s="263" t="s">
        <v>349</v>
      </c>
      <c r="U6" s="263" t="s">
        <v>350</v>
      </c>
      <c r="V6" s="263" t="s">
        <v>351</v>
      </c>
      <c r="W6" s="263" t="s">
        <v>352</v>
      </c>
      <c r="X6" s="166" t="s">
        <v>37</v>
      </c>
      <c r="Y6" s="262" t="s">
        <v>353</v>
      </c>
      <c r="Z6" s="262" t="s">
        <v>354</v>
      </c>
      <c r="AA6" s="262" t="s">
        <v>355</v>
      </c>
      <c r="AB6" s="167" t="s">
        <v>37</v>
      </c>
      <c r="AC6" s="263" t="s">
        <v>348</v>
      </c>
      <c r="AD6" s="263" t="s">
        <v>349</v>
      </c>
      <c r="AE6" s="263" t="s">
        <v>350</v>
      </c>
      <c r="AF6" s="263" t="s">
        <v>351</v>
      </c>
      <c r="AG6" s="263" t="s">
        <v>352</v>
      </c>
      <c r="AH6" s="166" t="s">
        <v>37</v>
      </c>
      <c r="AI6" s="262" t="s">
        <v>353</v>
      </c>
      <c r="AJ6" s="262" t="s">
        <v>354</v>
      </c>
      <c r="AK6" s="262" t="s">
        <v>355</v>
      </c>
      <c r="AL6" s="167" t="s">
        <v>37</v>
      </c>
      <c r="AM6" s="276" t="s">
        <v>404</v>
      </c>
      <c r="AN6" s="169" t="s">
        <v>369</v>
      </c>
      <c r="AO6" s="276" t="s">
        <v>404</v>
      </c>
      <c r="AP6" s="169" t="s">
        <v>369</v>
      </c>
      <c r="AQ6" s="182" t="s">
        <v>28</v>
      </c>
      <c r="AR6" s="183" t="s">
        <v>190</v>
      </c>
      <c r="AS6" s="183" t="s">
        <v>191</v>
      </c>
      <c r="AT6" s="184" t="s">
        <v>125</v>
      </c>
      <c r="AU6" s="550"/>
      <c r="AV6" s="260"/>
      <c r="BA6" s="260"/>
      <c r="BG6" s="260"/>
    </row>
    <row r="7" spans="1:64" s="71" customFormat="1" ht="23.25" customHeight="1">
      <c r="A7" s="462"/>
      <c r="B7" s="655"/>
      <c r="C7" s="656"/>
      <c r="D7" s="558"/>
      <c r="E7" s="524"/>
      <c r="F7" s="556"/>
      <c r="G7" s="556"/>
      <c r="H7" s="556"/>
      <c r="I7" s="26"/>
      <c r="J7" s="686"/>
      <c r="K7" s="108">
        <f>BG7</f>
        <v>0</v>
      </c>
      <c r="L7" s="80">
        <f>IF('School Info'!$W$7&gt;0,1,"--")</f>
        <v>1</v>
      </c>
      <c r="M7" s="21">
        <f>'School Info'!T6</f>
        <v>44896</v>
      </c>
      <c r="N7" s="20" t="str">
        <f>TEXT(M7,"dddd")</f>
        <v>Thursday</v>
      </c>
      <c r="O7" s="150" t="s">
        <v>173</v>
      </c>
      <c r="P7" s="20" t="str">
        <f>IF(O7="खुला",N7,IF(O7="---","---","Holiday"))</f>
        <v>Thursday</v>
      </c>
      <c r="Q7" s="165" t="str">
        <f>VLOOKUP($P7,$B$20:$J$27,7,0)</f>
        <v>---</v>
      </c>
      <c r="R7" s="20" t="str">
        <f>IF(Q7="दूध ","M","---")</f>
        <v>---</v>
      </c>
      <c r="S7" s="325">
        <f>'School Info'!P12</f>
        <v>53</v>
      </c>
      <c r="T7" s="357">
        <f>'School Info'!P13</f>
        <v>53</v>
      </c>
      <c r="U7" s="357">
        <f>'School Info'!P14</f>
        <v>53</v>
      </c>
      <c r="V7" s="357">
        <f>'School Info'!P15</f>
        <v>53</v>
      </c>
      <c r="W7" s="326">
        <f>'School Info'!P16</f>
        <v>53</v>
      </c>
      <c r="X7" s="358">
        <f>SUM(S7:W7)</f>
        <v>265</v>
      </c>
      <c r="Y7" s="326">
        <f>'School Info'!P20</f>
        <v>53</v>
      </c>
      <c r="Z7" s="326">
        <f>'School Info'!P21</f>
        <v>53</v>
      </c>
      <c r="AA7" s="326">
        <f>'School Info'!P22</f>
        <v>53</v>
      </c>
      <c r="AB7" s="358">
        <f>SUM(Y7:AA7)</f>
        <v>159</v>
      </c>
      <c r="AC7" s="341"/>
      <c r="AD7" s="341"/>
      <c r="AE7" s="341"/>
      <c r="AF7" s="341"/>
      <c r="AG7" s="341"/>
      <c r="AH7" s="358">
        <f>SUM(AC7:AG7)</f>
        <v>0</v>
      </c>
      <c r="AI7" s="341"/>
      <c r="AJ7" s="341"/>
      <c r="AK7" s="341"/>
      <c r="AL7" s="358">
        <f>SUM(AI7:AK7)</f>
        <v>0</v>
      </c>
      <c r="AM7" s="364"/>
      <c r="AN7" s="364"/>
      <c r="AO7" s="365"/>
      <c r="AP7" s="347"/>
      <c r="AQ7" s="688" t="s">
        <v>16</v>
      </c>
      <c r="AR7" s="612">
        <f>AW38</f>
        <v>11</v>
      </c>
      <c r="AS7" s="612">
        <f>AX38</f>
        <v>11</v>
      </c>
      <c r="AT7" s="581">
        <f>AR7+AS7</f>
        <v>22</v>
      </c>
      <c r="AU7" s="550"/>
      <c r="AV7" s="260" t="s">
        <v>145</v>
      </c>
      <c r="AW7" s="72">
        <f>AH7</f>
        <v>0</v>
      </c>
      <c r="AX7" s="72">
        <f>AH7</f>
        <v>0</v>
      </c>
      <c r="AY7" s="72">
        <f>AL7</f>
        <v>0</v>
      </c>
      <c r="AZ7" s="72">
        <f>AL7</f>
        <v>0</v>
      </c>
      <c r="BA7" s="260"/>
      <c r="BB7" s="73">
        <f>AW7*'School Info'!$E$19</f>
        <v>0</v>
      </c>
      <c r="BC7" s="73">
        <f>(AX7*'School Info'!$C$23)/1000</f>
        <v>0</v>
      </c>
      <c r="BD7" s="73">
        <f>AY7*'School Info'!$E$20</f>
        <v>0</v>
      </c>
      <c r="BE7" s="73">
        <f>(AZ7*'School Info'!$E$23)/1000</f>
        <v>0</v>
      </c>
      <c r="BG7" s="260">
        <f>IF(OR(AH7&gt;0,AL7&gt;0),1,0)</f>
        <v>0</v>
      </c>
      <c r="BH7" s="260" t="str">
        <f>IF(BG7&gt;0,"A","N")</f>
        <v>N</v>
      </c>
      <c r="BI7" s="651">
        <f>SUM(AM7:AM13)</f>
        <v>0</v>
      </c>
      <c r="BJ7" s="651">
        <f t="shared" ref="BJ7:BL7" si="0">SUM(AN7:AN13)</f>
        <v>0</v>
      </c>
      <c r="BK7" s="651">
        <f t="shared" si="0"/>
        <v>0</v>
      </c>
      <c r="BL7" s="651">
        <f t="shared" si="0"/>
        <v>0</v>
      </c>
    </row>
    <row r="8" spans="1:64" s="71" customFormat="1" ht="23.25" customHeight="1">
      <c r="A8" s="462"/>
      <c r="B8" s="657"/>
      <c r="C8" s="658"/>
      <c r="D8" s="559"/>
      <c r="E8" s="525"/>
      <c r="F8" s="557"/>
      <c r="G8" s="557"/>
      <c r="H8" s="557"/>
      <c r="I8" s="26"/>
      <c r="J8" s="687"/>
      <c r="K8" s="108">
        <f t="shared" ref="K8:K37" si="1">BG8</f>
        <v>1</v>
      </c>
      <c r="L8" s="81">
        <f>IF('School Info'!$W$7&gt;0,L7+1,"--")</f>
        <v>2</v>
      </c>
      <c r="M8" s="23">
        <f>M7+1</f>
        <v>44897</v>
      </c>
      <c r="N8" s="22" t="str">
        <f t="shared" ref="N8:N37" si="2">TEXT(M8,"dddd")</f>
        <v>Friday</v>
      </c>
      <c r="O8" s="152" t="str">
        <f t="shared" ref="O8:O37" si="3">IF(N8="Sunday","रवि॰अव॰",IF(N8="---","---","खुला"))</f>
        <v>खुला</v>
      </c>
      <c r="P8" s="20" t="str">
        <f t="shared" ref="P8:P37" si="4">IF(O8="खुला",N8,IF(O8="---","---","Holiday"))</f>
        <v>Friday</v>
      </c>
      <c r="Q8" s="165" t="str">
        <f t="shared" ref="Q8:Q37" si="5">VLOOKUP($P8,$B$20:$J$27,7,0)</f>
        <v xml:space="preserve">दूध </v>
      </c>
      <c r="R8" s="20" t="str">
        <f t="shared" ref="R8:R37" si="6">IF(Q8="दूध ","M","---")</f>
        <v>M</v>
      </c>
      <c r="S8" s="331">
        <f>IF('School Info'!$W$7&gt;=$L8,S7,"---")</f>
        <v>53</v>
      </c>
      <c r="T8" s="331">
        <f>IF('School Info'!$W$7&gt;=$L8,T7,"---")</f>
        <v>53</v>
      </c>
      <c r="U8" s="331">
        <f>IF('School Info'!$W$7&gt;=$L8,U7,"---")</f>
        <v>53</v>
      </c>
      <c r="V8" s="331">
        <f>IF('School Info'!$W$7&gt;=$L8,V7,"---")</f>
        <v>53</v>
      </c>
      <c r="W8" s="331">
        <f>IF('School Info'!$W$7&gt;=$L8,W7,"---")</f>
        <v>53</v>
      </c>
      <c r="X8" s="359">
        <f>SUM(S8:W8)</f>
        <v>265</v>
      </c>
      <c r="Y8" s="331">
        <f>IF('School Info'!$W$7&gt;=$L8,Y7,"---")</f>
        <v>53</v>
      </c>
      <c r="Z8" s="331">
        <f>IF('School Info'!$W$7&gt;=$L8,Z7,"---")</f>
        <v>53</v>
      </c>
      <c r="AA8" s="331">
        <f>IF('School Info'!$W$7&gt;=$L8,AA7,"---")</f>
        <v>53</v>
      </c>
      <c r="AB8" s="358">
        <f>SUM(Y8:AA8)</f>
        <v>159</v>
      </c>
      <c r="AC8" s="341">
        <v>5</v>
      </c>
      <c r="AD8" s="341">
        <v>6</v>
      </c>
      <c r="AE8" s="341"/>
      <c r="AF8" s="341"/>
      <c r="AG8" s="341"/>
      <c r="AH8" s="358">
        <f t="shared" ref="AH8:AH37" si="7">SUM(AC8:AG8)</f>
        <v>11</v>
      </c>
      <c r="AI8" s="341">
        <v>4</v>
      </c>
      <c r="AJ8" s="341">
        <v>5</v>
      </c>
      <c r="AK8" s="341"/>
      <c r="AL8" s="358">
        <f t="shared" ref="AL8:AL37" si="8">SUM(AI8:AK8)</f>
        <v>9</v>
      </c>
      <c r="AM8" s="366"/>
      <c r="AN8" s="366"/>
      <c r="AO8" s="348"/>
      <c r="AP8" s="349"/>
      <c r="AQ8" s="689"/>
      <c r="AR8" s="586"/>
      <c r="AS8" s="586"/>
      <c r="AT8" s="588"/>
      <c r="AU8" s="550"/>
      <c r="AV8" s="260" t="s">
        <v>146</v>
      </c>
      <c r="AW8" s="72">
        <f t="shared" ref="AW8:AW37" si="9">AH8</f>
        <v>11</v>
      </c>
      <c r="AX8" s="72">
        <f t="shared" ref="AX8:AX37" si="10">AH8</f>
        <v>11</v>
      </c>
      <c r="AY8" s="72">
        <f t="shared" ref="AY8:AY37" si="11">AL8</f>
        <v>9</v>
      </c>
      <c r="AZ8" s="72">
        <f t="shared" ref="AZ8:AZ37" si="12">AL8</f>
        <v>9</v>
      </c>
      <c r="BA8" s="260"/>
      <c r="BB8" s="73">
        <f>AW8*'School Info'!$E$19</f>
        <v>0.16499999999999998</v>
      </c>
      <c r="BC8" s="73">
        <f>(AX8*'School Info'!$C$23)/1000</f>
        <v>9.240000000000001E-2</v>
      </c>
      <c r="BD8" s="73">
        <f>AY8*'School Info'!$E$20</f>
        <v>0.18</v>
      </c>
      <c r="BE8" s="73">
        <f>(AZ8*'School Info'!$E$23)/1000</f>
        <v>9.1799999999999993E-2</v>
      </c>
      <c r="BG8" s="260">
        <f>IF(OR(AH8&gt;0,AL8&gt;0),MAX(BG7)+1,0)</f>
        <v>1</v>
      </c>
      <c r="BH8" s="260" t="str">
        <f t="shared" ref="BH8:BH13" si="13">IF(BG8&gt;0,"A","N")</f>
        <v>A</v>
      </c>
      <c r="BI8" s="652"/>
      <c r="BJ8" s="652"/>
      <c r="BK8" s="652"/>
      <c r="BL8" s="652"/>
    </row>
    <row r="9" spans="1:64" ht="23.25" customHeight="1" thickBot="1">
      <c r="A9" s="462"/>
      <c r="B9" s="659">
        <v>1</v>
      </c>
      <c r="C9" s="660"/>
      <c r="D9" s="46">
        <v>3</v>
      </c>
      <c r="E9" s="46">
        <v>4</v>
      </c>
      <c r="F9" s="46">
        <v>5</v>
      </c>
      <c r="G9" s="46">
        <v>6</v>
      </c>
      <c r="H9" s="46">
        <v>7</v>
      </c>
      <c r="I9" s="46">
        <v>7</v>
      </c>
      <c r="J9" s="186">
        <v>8</v>
      </c>
      <c r="K9" s="108">
        <f t="shared" si="1"/>
        <v>0</v>
      </c>
      <c r="L9" s="81">
        <f>IF('School Info'!$W$7&gt;0,L8+1,"--")</f>
        <v>3</v>
      </c>
      <c r="M9" s="23">
        <f t="shared" ref="M9:M33" si="14">M8+1</f>
        <v>44898</v>
      </c>
      <c r="N9" s="22" t="str">
        <f t="shared" si="2"/>
        <v>Saturday</v>
      </c>
      <c r="O9" s="152" t="str">
        <f t="shared" si="3"/>
        <v>खुला</v>
      </c>
      <c r="P9" s="20" t="str">
        <f t="shared" si="4"/>
        <v>Saturday</v>
      </c>
      <c r="Q9" s="165" t="str">
        <f t="shared" si="5"/>
        <v>---</v>
      </c>
      <c r="R9" s="20" t="str">
        <f t="shared" si="6"/>
        <v>---</v>
      </c>
      <c r="S9" s="331">
        <f>IF('School Info'!$W$7&gt;=$L9,S8,"---")</f>
        <v>53</v>
      </c>
      <c r="T9" s="331">
        <f>IF('School Info'!$W$7&gt;=$L9,T8,"---")</f>
        <v>53</v>
      </c>
      <c r="U9" s="331">
        <f>IF('School Info'!$W$7&gt;=$L9,U8,"---")</f>
        <v>53</v>
      </c>
      <c r="V9" s="331">
        <f>IF('School Info'!$W$7&gt;=$L9,V8,"---")</f>
        <v>53</v>
      </c>
      <c r="W9" s="331">
        <f>IF('School Info'!$W$7&gt;=$L9,W8,"---")</f>
        <v>53</v>
      </c>
      <c r="X9" s="359">
        <f t="shared" ref="X9:X37" si="15">SUM(S9:W9)</f>
        <v>265</v>
      </c>
      <c r="Y9" s="331">
        <f>IF('School Info'!$W$7&gt;=$L9,Y8,"---")</f>
        <v>53</v>
      </c>
      <c r="Z9" s="331">
        <f>IF('School Info'!$W$7&gt;=$L9,Z8,"---")</f>
        <v>53</v>
      </c>
      <c r="AA9" s="331">
        <f>IF('School Info'!$W$7&gt;=$L9,AA8,"---")</f>
        <v>53</v>
      </c>
      <c r="AB9" s="358">
        <f t="shared" ref="AB9:AB37" si="16">SUM(Y9:AA9)</f>
        <v>159</v>
      </c>
      <c r="AC9" s="341"/>
      <c r="AD9" s="341"/>
      <c r="AE9" s="341"/>
      <c r="AF9" s="341"/>
      <c r="AG9" s="341"/>
      <c r="AH9" s="358">
        <f t="shared" si="7"/>
        <v>0</v>
      </c>
      <c r="AI9" s="341"/>
      <c r="AJ9" s="341"/>
      <c r="AK9" s="341"/>
      <c r="AL9" s="358">
        <f t="shared" si="8"/>
        <v>0</v>
      </c>
      <c r="AM9" s="366"/>
      <c r="AN9" s="366"/>
      <c r="AO9" s="348"/>
      <c r="AP9" s="349">
        <v>0</v>
      </c>
      <c r="AQ9" s="688" t="s">
        <v>18</v>
      </c>
      <c r="AR9" s="612">
        <f>AY38</f>
        <v>9</v>
      </c>
      <c r="AS9" s="612">
        <f>AZ38</f>
        <v>9</v>
      </c>
      <c r="AT9" s="581">
        <f>AR9+AS9</f>
        <v>18</v>
      </c>
      <c r="AU9" s="550"/>
      <c r="AV9" s="260" t="s">
        <v>147</v>
      </c>
      <c r="AW9" s="72">
        <f t="shared" si="9"/>
        <v>0</v>
      </c>
      <c r="AX9" s="72">
        <f t="shared" si="10"/>
        <v>0</v>
      </c>
      <c r="AY9" s="72">
        <f t="shared" si="11"/>
        <v>0</v>
      </c>
      <c r="AZ9" s="72">
        <f t="shared" si="12"/>
        <v>0</v>
      </c>
      <c r="BA9" s="260"/>
      <c r="BB9" s="73">
        <f>AW9*'School Info'!$E$19</f>
        <v>0</v>
      </c>
      <c r="BC9" s="73">
        <f>(AX9*'School Info'!$C$23)/1000</f>
        <v>0</v>
      </c>
      <c r="BD9" s="73">
        <f>AY9*'School Info'!$E$20</f>
        <v>0</v>
      </c>
      <c r="BE9" s="73">
        <f>(AZ9*'School Info'!$E$23)/1000</f>
        <v>0</v>
      </c>
      <c r="BG9" s="260">
        <f>IF(OR(AH9&gt;0,AL9&gt;0),MAX($BG$7:BG8)+1,0)</f>
        <v>0</v>
      </c>
      <c r="BH9" s="260" t="str">
        <f t="shared" si="13"/>
        <v>N</v>
      </c>
      <c r="BI9" s="652"/>
      <c r="BJ9" s="652"/>
      <c r="BK9" s="652"/>
      <c r="BL9" s="652"/>
    </row>
    <row r="10" spans="1:64" ht="23.25" customHeight="1" thickBot="1">
      <c r="A10" s="462"/>
      <c r="B10" s="661" t="s">
        <v>215</v>
      </c>
      <c r="C10" s="662"/>
      <c r="D10" s="670">
        <v>50</v>
      </c>
      <c r="E10" s="670">
        <v>20</v>
      </c>
      <c r="F10" s="672">
        <f>AM38</f>
        <v>0</v>
      </c>
      <c r="G10" s="672">
        <f>AO38</f>
        <v>0</v>
      </c>
      <c r="H10" s="670">
        <v>-10</v>
      </c>
      <c r="I10" s="43">
        <f>SUM(D10:H10)</f>
        <v>60</v>
      </c>
      <c r="J10" s="668">
        <v>20</v>
      </c>
      <c r="K10" s="108">
        <f t="shared" si="1"/>
        <v>0</v>
      </c>
      <c r="L10" s="81">
        <f>IF('School Info'!$W$7&gt;0,L9+1,"--")</f>
        <v>4</v>
      </c>
      <c r="M10" s="23">
        <f t="shared" si="14"/>
        <v>44899</v>
      </c>
      <c r="N10" s="22" t="str">
        <f t="shared" si="2"/>
        <v>Sunday</v>
      </c>
      <c r="O10" s="152" t="str">
        <f t="shared" si="3"/>
        <v>रवि॰अव॰</v>
      </c>
      <c r="P10" s="20" t="str">
        <f t="shared" si="4"/>
        <v>Holiday</v>
      </c>
      <c r="Q10" s="165">
        <f t="shared" si="5"/>
        <v>0</v>
      </c>
      <c r="R10" s="20" t="str">
        <f t="shared" si="6"/>
        <v>---</v>
      </c>
      <c r="S10" s="331">
        <f>IF('School Info'!$W$7&gt;=$L10,S9,"---")</f>
        <v>53</v>
      </c>
      <c r="T10" s="331">
        <f>IF('School Info'!$W$7&gt;=$L10,T9,"---")</f>
        <v>53</v>
      </c>
      <c r="U10" s="331">
        <f>IF('School Info'!$W$7&gt;=$L10,U9,"---")</f>
        <v>53</v>
      </c>
      <c r="V10" s="331">
        <f>IF('School Info'!$W$7&gt;=$L10,V9,"---")</f>
        <v>53</v>
      </c>
      <c r="W10" s="331">
        <f>IF('School Info'!$W$7&gt;=$L10,W9,"---")</f>
        <v>53</v>
      </c>
      <c r="X10" s="359">
        <f t="shared" si="15"/>
        <v>265</v>
      </c>
      <c r="Y10" s="331">
        <f>IF('School Info'!$W$7&gt;=$L10,Y9,"---")</f>
        <v>53</v>
      </c>
      <c r="Z10" s="331">
        <f>IF('School Info'!$W$7&gt;=$L10,Z9,"---")</f>
        <v>53</v>
      </c>
      <c r="AA10" s="331">
        <f>IF('School Info'!$W$7&gt;=$L10,AA9,"---")</f>
        <v>53</v>
      </c>
      <c r="AB10" s="358">
        <f t="shared" si="16"/>
        <v>159</v>
      </c>
      <c r="AC10" s="341"/>
      <c r="AD10" s="341"/>
      <c r="AE10" s="341"/>
      <c r="AF10" s="341"/>
      <c r="AG10" s="341"/>
      <c r="AH10" s="358">
        <f t="shared" si="7"/>
        <v>0</v>
      </c>
      <c r="AI10" s="341"/>
      <c r="AJ10" s="341"/>
      <c r="AK10" s="341"/>
      <c r="AL10" s="358">
        <f t="shared" si="8"/>
        <v>0</v>
      </c>
      <c r="AM10" s="366"/>
      <c r="AN10" s="366"/>
      <c r="AO10" s="348"/>
      <c r="AP10" s="349"/>
      <c r="AQ10" s="694"/>
      <c r="AR10" s="613"/>
      <c r="AS10" s="613"/>
      <c r="AT10" s="582"/>
      <c r="AU10" s="550"/>
      <c r="AV10" s="260" t="s">
        <v>148</v>
      </c>
      <c r="AW10" s="72">
        <f t="shared" si="9"/>
        <v>0</v>
      </c>
      <c r="AX10" s="72">
        <f t="shared" si="10"/>
        <v>0</v>
      </c>
      <c r="AY10" s="72">
        <f t="shared" si="11"/>
        <v>0</v>
      </c>
      <c r="AZ10" s="72">
        <f t="shared" si="12"/>
        <v>0</v>
      </c>
      <c r="BA10" s="260"/>
      <c r="BB10" s="73">
        <f>AW10*'School Info'!$E$19</f>
        <v>0</v>
      </c>
      <c r="BC10" s="73">
        <f>(AX10*'School Info'!$C$23)/1000</f>
        <v>0</v>
      </c>
      <c r="BD10" s="73">
        <f>AY10*'School Info'!$E$20</f>
        <v>0</v>
      </c>
      <c r="BE10" s="73">
        <f>(AZ10*'School Info'!$E$23)/1000</f>
        <v>0</v>
      </c>
      <c r="BG10" s="260">
        <f>IF(OR(AH10&gt;0,AL10&gt;0),MAX($BG$7:BG9)+1,0)</f>
        <v>0</v>
      </c>
      <c r="BH10" s="260" t="str">
        <f t="shared" si="13"/>
        <v>N</v>
      </c>
      <c r="BI10" s="652"/>
      <c r="BJ10" s="652"/>
      <c r="BK10" s="652"/>
      <c r="BL10" s="652"/>
    </row>
    <row r="11" spans="1:64" ht="23.25" customHeight="1" thickBot="1">
      <c r="A11" s="462"/>
      <c r="B11" s="663"/>
      <c r="C11" s="664"/>
      <c r="D11" s="671"/>
      <c r="E11" s="671"/>
      <c r="F11" s="673"/>
      <c r="G11" s="673"/>
      <c r="H11" s="671"/>
      <c r="I11" s="43"/>
      <c r="J11" s="669"/>
      <c r="K11" s="108">
        <f t="shared" si="1"/>
        <v>0</v>
      </c>
      <c r="L11" s="81">
        <f>IF('School Info'!$W$7&gt;0,L10+1,"--")</f>
        <v>5</v>
      </c>
      <c r="M11" s="23">
        <f t="shared" si="14"/>
        <v>44900</v>
      </c>
      <c r="N11" s="22" t="str">
        <f t="shared" si="2"/>
        <v>Monday</v>
      </c>
      <c r="O11" s="152" t="str">
        <f t="shared" si="3"/>
        <v>खुला</v>
      </c>
      <c r="P11" s="20" t="str">
        <f t="shared" si="4"/>
        <v>Monday</v>
      </c>
      <c r="Q11" s="165" t="str">
        <f t="shared" si="5"/>
        <v>---</v>
      </c>
      <c r="R11" s="20" t="str">
        <f t="shared" si="6"/>
        <v>---</v>
      </c>
      <c r="S11" s="331">
        <f>IF('School Info'!$W$7&gt;=$L11,S10,"---")</f>
        <v>53</v>
      </c>
      <c r="T11" s="331">
        <f>IF('School Info'!$W$7&gt;=$L11,T10,"---")</f>
        <v>53</v>
      </c>
      <c r="U11" s="331">
        <f>IF('School Info'!$W$7&gt;=$L11,U10,"---")</f>
        <v>53</v>
      </c>
      <c r="V11" s="331">
        <f>IF('School Info'!$W$7&gt;=$L11,V10,"---")</f>
        <v>53</v>
      </c>
      <c r="W11" s="331">
        <f>IF('School Info'!$W$7&gt;=$L11,W10,"---")</f>
        <v>53</v>
      </c>
      <c r="X11" s="359">
        <f t="shared" si="15"/>
        <v>265</v>
      </c>
      <c r="Y11" s="331">
        <f>IF('School Info'!$W$7&gt;=$L11,Y10,"---")</f>
        <v>53</v>
      </c>
      <c r="Z11" s="331">
        <f>IF('School Info'!$W$7&gt;=$L11,Z10,"---")</f>
        <v>53</v>
      </c>
      <c r="AA11" s="331">
        <f>IF('School Info'!$W$7&gt;=$L11,AA10,"---")</f>
        <v>53</v>
      </c>
      <c r="AB11" s="358">
        <f t="shared" si="16"/>
        <v>159</v>
      </c>
      <c r="AC11" s="341"/>
      <c r="AD11" s="341"/>
      <c r="AE11" s="341"/>
      <c r="AF11" s="341"/>
      <c r="AG11" s="341"/>
      <c r="AH11" s="358">
        <f t="shared" si="7"/>
        <v>0</v>
      </c>
      <c r="AI11" s="341"/>
      <c r="AJ11" s="341"/>
      <c r="AK11" s="341"/>
      <c r="AL11" s="358">
        <f t="shared" si="8"/>
        <v>0</v>
      </c>
      <c r="AM11" s="366"/>
      <c r="AN11" s="366"/>
      <c r="AO11" s="348"/>
      <c r="AP11" s="349"/>
      <c r="AQ11" s="608"/>
      <c r="AR11" s="608"/>
      <c r="AS11" s="608"/>
      <c r="AT11" s="609"/>
      <c r="AU11" s="550"/>
      <c r="AV11" s="260" t="s">
        <v>149</v>
      </c>
      <c r="AW11" s="72">
        <f t="shared" si="9"/>
        <v>0</v>
      </c>
      <c r="AX11" s="72">
        <f t="shared" si="10"/>
        <v>0</v>
      </c>
      <c r="AY11" s="72">
        <f t="shared" si="11"/>
        <v>0</v>
      </c>
      <c r="AZ11" s="72">
        <f t="shared" si="12"/>
        <v>0</v>
      </c>
      <c r="BA11" s="260"/>
      <c r="BB11" s="73">
        <f>AW11*'School Info'!$E$19</f>
        <v>0</v>
      </c>
      <c r="BC11" s="73">
        <f>(AX11*'School Info'!$C$23)/1000</f>
        <v>0</v>
      </c>
      <c r="BD11" s="73">
        <f>AY11*'School Info'!$E$20</f>
        <v>0</v>
      </c>
      <c r="BE11" s="73">
        <f>(AZ11*'School Info'!$E$23)/1000</f>
        <v>0</v>
      </c>
      <c r="BG11" s="260">
        <f>IF(OR(AH11&gt;0,AL11&gt;0),MAX($BG$7:BG10)+1,0)</f>
        <v>0</v>
      </c>
      <c r="BH11" s="260" t="str">
        <f t="shared" si="13"/>
        <v>N</v>
      </c>
      <c r="BI11" s="652"/>
      <c r="BJ11" s="652"/>
      <c r="BK11" s="652"/>
      <c r="BL11" s="652"/>
    </row>
    <row r="12" spans="1:64" ht="23.25" customHeight="1" thickBot="1">
      <c r="A12" s="462"/>
      <c r="B12" s="665" t="s">
        <v>313</v>
      </c>
      <c r="C12" s="666"/>
      <c r="D12" s="676">
        <v>0</v>
      </c>
      <c r="E12" s="676">
        <v>0</v>
      </c>
      <c r="F12" s="678">
        <f>AN38</f>
        <v>0</v>
      </c>
      <c r="G12" s="678">
        <f>AP38</f>
        <v>0</v>
      </c>
      <c r="H12" s="676">
        <v>0</v>
      </c>
      <c r="I12" s="43">
        <f t="shared" ref="I12" si="17">SUM(D12:H12)</f>
        <v>0</v>
      </c>
      <c r="J12" s="674">
        <v>0</v>
      </c>
      <c r="K12" s="108">
        <f t="shared" si="1"/>
        <v>0</v>
      </c>
      <c r="L12" s="81">
        <f>IF('School Info'!$W$7&gt;0,L11+1,"--")</f>
        <v>6</v>
      </c>
      <c r="M12" s="23">
        <f>M11+1</f>
        <v>44901</v>
      </c>
      <c r="N12" s="22" t="str">
        <f t="shared" si="2"/>
        <v>Tuesday</v>
      </c>
      <c r="O12" s="152" t="str">
        <f t="shared" si="3"/>
        <v>खुला</v>
      </c>
      <c r="P12" s="20" t="str">
        <f t="shared" si="4"/>
        <v>Tuesday</v>
      </c>
      <c r="Q12" s="165" t="str">
        <f t="shared" si="5"/>
        <v xml:space="preserve">दूध </v>
      </c>
      <c r="R12" s="20" t="str">
        <f t="shared" si="6"/>
        <v>M</v>
      </c>
      <c r="S12" s="331">
        <f>IF('School Info'!$W$7&gt;=$L12,S11,"---")</f>
        <v>53</v>
      </c>
      <c r="T12" s="331">
        <f>IF('School Info'!$W$7&gt;=$L12,T11,"---")</f>
        <v>53</v>
      </c>
      <c r="U12" s="331">
        <f>IF('School Info'!$W$7&gt;=$L12,U11,"---")</f>
        <v>53</v>
      </c>
      <c r="V12" s="331">
        <f>IF('School Info'!$W$7&gt;=$L12,V11,"---")</f>
        <v>53</v>
      </c>
      <c r="W12" s="331">
        <f>IF('School Info'!$W$7&gt;=$L12,W11,"---")</f>
        <v>53</v>
      </c>
      <c r="X12" s="359">
        <f t="shared" si="15"/>
        <v>265</v>
      </c>
      <c r="Y12" s="331">
        <f>IF('School Info'!$W$7&gt;=$L12,Y11,"---")</f>
        <v>53</v>
      </c>
      <c r="Z12" s="331">
        <f>IF('School Info'!$W$7&gt;=$L12,Z11,"---")</f>
        <v>53</v>
      </c>
      <c r="AA12" s="331">
        <f>IF('School Info'!$W$7&gt;=$L12,AA11,"---")</f>
        <v>53</v>
      </c>
      <c r="AB12" s="358">
        <f t="shared" si="16"/>
        <v>159</v>
      </c>
      <c r="AC12" s="341"/>
      <c r="AD12" s="341"/>
      <c r="AE12" s="341"/>
      <c r="AF12" s="341"/>
      <c r="AG12" s="341"/>
      <c r="AH12" s="358">
        <f t="shared" si="7"/>
        <v>0</v>
      </c>
      <c r="AI12" s="341"/>
      <c r="AJ12" s="341"/>
      <c r="AK12" s="341"/>
      <c r="AL12" s="358">
        <f t="shared" si="8"/>
        <v>0</v>
      </c>
      <c r="AM12" s="366"/>
      <c r="AN12" s="366"/>
      <c r="AO12" s="348"/>
      <c r="AP12" s="349"/>
      <c r="AQ12" s="616" t="s">
        <v>245</v>
      </c>
      <c r="AR12" s="616"/>
      <c r="AS12" s="616"/>
      <c r="AT12" s="617"/>
      <c r="AU12" s="550"/>
      <c r="AV12" s="260" t="s">
        <v>170</v>
      </c>
      <c r="AW12" s="72">
        <f t="shared" si="9"/>
        <v>0</v>
      </c>
      <c r="AX12" s="72">
        <f t="shared" si="10"/>
        <v>0</v>
      </c>
      <c r="AY12" s="72">
        <f t="shared" si="11"/>
        <v>0</v>
      </c>
      <c r="AZ12" s="72">
        <f t="shared" si="12"/>
        <v>0</v>
      </c>
      <c r="BA12" s="260"/>
      <c r="BB12" s="73">
        <f>AW12*'School Info'!$E$19</f>
        <v>0</v>
      </c>
      <c r="BC12" s="73">
        <f>(AX12*'School Info'!$C$23)/1000</f>
        <v>0</v>
      </c>
      <c r="BD12" s="73">
        <f>AY12*'School Info'!$E$20</f>
        <v>0</v>
      </c>
      <c r="BE12" s="73">
        <f>(AZ12*'School Info'!$E$23)/1000</f>
        <v>0</v>
      </c>
      <c r="BG12" s="260">
        <f>IF(OR(AH12&gt;0,AL12&gt;0),MAX($BG$7:BG11)+1,0)</f>
        <v>0</v>
      </c>
      <c r="BH12" s="260" t="str">
        <f t="shared" si="13"/>
        <v>N</v>
      </c>
      <c r="BI12" s="652"/>
      <c r="BJ12" s="652"/>
      <c r="BK12" s="652"/>
      <c r="BL12" s="652"/>
    </row>
    <row r="13" spans="1:64" ht="23.25" customHeight="1" thickBot="1">
      <c r="A13" s="462"/>
      <c r="B13" s="667"/>
      <c r="C13" s="637"/>
      <c r="D13" s="677"/>
      <c r="E13" s="677"/>
      <c r="F13" s="679"/>
      <c r="G13" s="679"/>
      <c r="H13" s="677"/>
      <c r="I13" s="43"/>
      <c r="J13" s="675"/>
      <c r="K13" s="108">
        <f t="shared" si="1"/>
        <v>0</v>
      </c>
      <c r="L13" s="81">
        <f>IF('School Info'!$W$7&gt;0,L12+1,"--")</f>
        <v>7</v>
      </c>
      <c r="M13" s="23">
        <f t="shared" si="14"/>
        <v>44902</v>
      </c>
      <c r="N13" s="22" t="str">
        <f t="shared" si="2"/>
        <v>Wednesday</v>
      </c>
      <c r="O13" s="152" t="str">
        <f t="shared" si="3"/>
        <v>खुला</v>
      </c>
      <c r="P13" s="20" t="str">
        <f t="shared" si="4"/>
        <v>Wednesday</v>
      </c>
      <c r="Q13" s="165" t="str">
        <f t="shared" si="5"/>
        <v>---</v>
      </c>
      <c r="R13" s="20" t="str">
        <f t="shared" si="6"/>
        <v>---</v>
      </c>
      <c r="S13" s="331">
        <f>IF('School Info'!$W$7&gt;=$L13,S12,"---")</f>
        <v>53</v>
      </c>
      <c r="T13" s="331">
        <f>IF('School Info'!$W$7&gt;=$L13,T12,"---")</f>
        <v>53</v>
      </c>
      <c r="U13" s="331">
        <f>IF('School Info'!$W$7&gt;=$L13,U12,"---")</f>
        <v>53</v>
      </c>
      <c r="V13" s="331">
        <f>IF('School Info'!$W$7&gt;=$L13,V12,"---")</f>
        <v>53</v>
      </c>
      <c r="W13" s="331">
        <f>IF('School Info'!$W$7&gt;=$L13,W12,"---")</f>
        <v>53</v>
      </c>
      <c r="X13" s="359">
        <f t="shared" si="15"/>
        <v>265</v>
      </c>
      <c r="Y13" s="331">
        <f>IF('School Info'!$W$7&gt;=$L13,Y12,"---")</f>
        <v>53</v>
      </c>
      <c r="Z13" s="331">
        <f>IF('School Info'!$W$7&gt;=$L13,Z12,"---")</f>
        <v>53</v>
      </c>
      <c r="AA13" s="331">
        <f>IF('School Info'!$W$7&gt;=$L13,AA12,"---")</f>
        <v>53</v>
      </c>
      <c r="AB13" s="358">
        <f t="shared" si="16"/>
        <v>159</v>
      </c>
      <c r="AC13" s="341"/>
      <c r="AD13" s="341"/>
      <c r="AE13" s="341"/>
      <c r="AF13" s="341"/>
      <c r="AG13" s="341"/>
      <c r="AH13" s="358">
        <f t="shared" si="7"/>
        <v>0</v>
      </c>
      <c r="AI13" s="341"/>
      <c r="AJ13" s="341"/>
      <c r="AK13" s="341"/>
      <c r="AL13" s="358">
        <f t="shared" si="8"/>
        <v>0</v>
      </c>
      <c r="AM13" s="366"/>
      <c r="AN13" s="366"/>
      <c r="AO13" s="348"/>
      <c r="AP13" s="349"/>
      <c r="AQ13" s="618"/>
      <c r="AR13" s="618"/>
      <c r="AS13" s="618"/>
      <c r="AT13" s="619"/>
      <c r="AU13" s="550"/>
      <c r="AV13" s="260" t="s">
        <v>150</v>
      </c>
      <c r="AW13" s="72">
        <f t="shared" si="9"/>
        <v>0</v>
      </c>
      <c r="AX13" s="72">
        <f t="shared" si="10"/>
        <v>0</v>
      </c>
      <c r="AY13" s="72">
        <f t="shared" si="11"/>
        <v>0</v>
      </c>
      <c r="AZ13" s="72">
        <f t="shared" si="12"/>
        <v>0</v>
      </c>
      <c r="BA13" s="260"/>
      <c r="BB13" s="73">
        <f>AW13*'School Info'!$E$19</f>
        <v>0</v>
      </c>
      <c r="BC13" s="73">
        <f>(AX13*'School Info'!$C$23)/1000</f>
        <v>0</v>
      </c>
      <c r="BD13" s="73">
        <f>AY13*'School Info'!$E$20</f>
        <v>0</v>
      </c>
      <c r="BE13" s="73">
        <f>(AZ13*'School Info'!$E$23)/1000</f>
        <v>0</v>
      </c>
      <c r="BG13" s="260">
        <f>IF(OR(AH13&gt;0,AL13&gt;0),MAX($BG$7:BG12)+1,0)</f>
        <v>0</v>
      </c>
      <c r="BH13" s="260" t="str">
        <f t="shared" si="13"/>
        <v>N</v>
      </c>
      <c r="BI13" s="652"/>
      <c r="BJ13" s="652"/>
      <c r="BK13" s="652"/>
      <c r="BL13" s="652"/>
    </row>
    <row r="14" spans="1:64" ht="23.25" customHeight="1">
      <c r="A14" s="462"/>
      <c r="B14" s="702"/>
      <c r="C14" s="703"/>
      <c r="D14" s="703"/>
      <c r="E14" s="703"/>
      <c r="F14" s="703"/>
      <c r="G14" s="703"/>
      <c r="H14" s="703"/>
      <c r="I14" s="703"/>
      <c r="J14" s="704"/>
      <c r="K14" s="108">
        <f t="shared" si="1"/>
        <v>0</v>
      </c>
      <c r="L14" s="81">
        <f>IF('School Info'!$W$7&gt;0,L13+1,"--")</f>
        <v>8</v>
      </c>
      <c r="M14" s="23">
        <f>M13+1</f>
        <v>44903</v>
      </c>
      <c r="N14" s="22" t="str">
        <f t="shared" si="2"/>
        <v>Thursday</v>
      </c>
      <c r="O14" s="152" t="s">
        <v>173</v>
      </c>
      <c r="P14" s="20" t="str">
        <f t="shared" si="4"/>
        <v>Thursday</v>
      </c>
      <c r="Q14" s="165" t="str">
        <f t="shared" si="5"/>
        <v>---</v>
      </c>
      <c r="R14" s="20" t="str">
        <f t="shared" si="6"/>
        <v>---</v>
      </c>
      <c r="S14" s="331">
        <f>IF('School Info'!$W$7&gt;=$L14,S13,"---")</f>
        <v>53</v>
      </c>
      <c r="T14" s="331">
        <f>IF('School Info'!$W$7&gt;=$L14,T13,"---")</f>
        <v>53</v>
      </c>
      <c r="U14" s="331">
        <f>IF('School Info'!$W$7&gt;=$L14,U13,"---")</f>
        <v>53</v>
      </c>
      <c r="V14" s="331">
        <f>IF('School Info'!$W$7&gt;=$L14,V13,"---")</f>
        <v>53</v>
      </c>
      <c r="W14" s="331">
        <f>IF('School Info'!$W$7&gt;=$L14,W13,"---")</f>
        <v>53</v>
      </c>
      <c r="X14" s="359">
        <f t="shared" si="15"/>
        <v>265</v>
      </c>
      <c r="Y14" s="331">
        <f>IF('School Info'!$W$7&gt;=$L14,Y13,"---")</f>
        <v>53</v>
      </c>
      <c r="Z14" s="331">
        <f>IF('School Info'!$W$7&gt;=$L14,Z13,"---")</f>
        <v>53</v>
      </c>
      <c r="AA14" s="331">
        <f>IF('School Info'!$W$7&gt;=$L14,AA13,"---")</f>
        <v>53</v>
      </c>
      <c r="AB14" s="358">
        <f t="shared" si="16"/>
        <v>159</v>
      </c>
      <c r="AC14" s="341"/>
      <c r="AD14" s="341"/>
      <c r="AE14" s="341"/>
      <c r="AF14" s="341"/>
      <c r="AG14" s="341"/>
      <c r="AH14" s="358">
        <f t="shared" si="7"/>
        <v>0</v>
      </c>
      <c r="AI14" s="341"/>
      <c r="AJ14" s="341"/>
      <c r="AK14" s="341"/>
      <c r="AL14" s="358">
        <f t="shared" si="8"/>
        <v>0</v>
      </c>
      <c r="AM14" s="366"/>
      <c r="AN14" s="366"/>
      <c r="AO14" s="348"/>
      <c r="AP14" s="349"/>
      <c r="AQ14" s="618"/>
      <c r="AR14" s="618"/>
      <c r="AS14" s="618"/>
      <c r="AT14" s="619"/>
      <c r="AU14" s="550"/>
      <c r="AV14" s="260" t="s">
        <v>151</v>
      </c>
      <c r="AW14" s="72">
        <f t="shared" si="9"/>
        <v>0</v>
      </c>
      <c r="AX14" s="72">
        <f t="shared" si="10"/>
        <v>0</v>
      </c>
      <c r="AY14" s="72">
        <f t="shared" si="11"/>
        <v>0</v>
      </c>
      <c r="AZ14" s="72">
        <f t="shared" si="12"/>
        <v>0</v>
      </c>
      <c r="BA14" s="260"/>
      <c r="BB14" s="73">
        <f>AW14*'School Info'!$E$19</f>
        <v>0</v>
      </c>
      <c r="BC14" s="73">
        <f>(AX14*'School Info'!$C$23)/1000</f>
        <v>0</v>
      </c>
      <c r="BD14" s="73">
        <f>AY14*'School Info'!$E$20</f>
        <v>0</v>
      </c>
      <c r="BE14" s="73">
        <f>(AZ14*'School Info'!$E$23)/1000</f>
        <v>0</v>
      </c>
      <c r="BG14" s="260">
        <f>IF(OR(AH14&gt;0,AL14&gt;0),3,0)</f>
        <v>0</v>
      </c>
      <c r="BI14" s="651">
        <f t="shared" ref="BI14" si="18">SUM(AM14:AM20)</f>
        <v>0</v>
      </c>
      <c r="BJ14" s="651">
        <f t="shared" ref="BJ14" si="19">SUM(AN14:AN20)</f>
        <v>0</v>
      </c>
      <c r="BK14" s="651">
        <f t="shared" ref="BK14" si="20">SUM(AO14:AO20)</f>
        <v>0</v>
      </c>
      <c r="BL14" s="651">
        <f t="shared" ref="BL14" si="21">SUM(AP14:AP20)</f>
        <v>0</v>
      </c>
    </row>
    <row r="15" spans="1:64" ht="23.25" customHeight="1">
      <c r="A15" s="462"/>
      <c r="B15" s="705"/>
      <c r="C15" s="706"/>
      <c r="D15" s="706"/>
      <c r="E15" s="706"/>
      <c r="F15" s="706"/>
      <c r="G15" s="706"/>
      <c r="H15" s="706"/>
      <c r="I15" s="706"/>
      <c r="J15" s="707"/>
      <c r="K15" s="108">
        <f t="shared" si="1"/>
        <v>0</v>
      </c>
      <c r="L15" s="81">
        <f>IF('School Info'!$W$7&gt;0,L14+1,"--")</f>
        <v>9</v>
      </c>
      <c r="M15" s="23">
        <f t="shared" si="14"/>
        <v>44904</v>
      </c>
      <c r="N15" s="22" t="str">
        <f t="shared" si="2"/>
        <v>Friday</v>
      </c>
      <c r="O15" s="152" t="str">
        <f t="shared" si="3"/>
        <v>खुला</v>
      </c>
      <c r="P15" s="20" t="str">
        <f t="shared" si="4"/>
        <v>Friday</v>
      </c>
      <c r="Q15" s="165" t="str">
        <f t="shared" si="5"/>
        <v xml:space="preserve">दूध </v>
      </c>
      <c r="R15" s="20" t="str">
        <f t="shared" si="6"/>
        <v>M</v>
      </c>
      <c r="S15" s="331">
        <f>IF('School Info'!$W$7&gt;=$L15,S14,"---")</f>
        <v>53</v>
      </c>
      <c r="T15" s="331">
        <f>IF('School Info'!$W$7&gt;=$L15,T14,"---")</f>
        <v>53</v>
      </c>
      <c r="U15" s="331">
        <f>IF('School Info'!$W$7&gt;=$L15,U14,"---")</f>
        <v>53</v>
      </c>
      <c r="V15" s="331">
        <f>IF('School Info'!$W$7&gt;=$L15,V14,"---")</f>
        <v>53</v>
      </c>
      <c r="W15" s="331">
        <f>IF('School Info'!$W$7&gt;=$L15,W14,"---")</f>
        <v>53</v>
      </c>
      <c r="X15" s="359">
        <f t="shared" si="15"/>
        <v>265</v>
      </c>
      <c r="Y15" s="331">
        <f>IF('School Info'!$W$7&gt;=$L15,Y14,"---")</f>
        <v>53</v>
      </c>
      <c r="Z15" s="331">
        <f>IF('School Info'!$W$7&gt;=$L15,Z14,"---")</f>
        <v>53</v>
      </c>
      <c r="AA15" s="331">
        <f>IF('School Info'!$W$7&gt;=$L15,AA14,"---")</f>
        <v>53</v>
      </c>
      <c r="AB15" s="358">
        <f t="shared" si="16"/>
        <v>159</v>
      </c>
      <c r="AC15" s="341"/>
      <c r="AD15" s="341"/>
      <c r="AE15" s="341"/>
      <c r="AF15" s="341"/>
      <c r="AG15" s="341"/>
      <c r="AH15" s="358">
        <f t="shared" si="7"/>
        <v>0</v>
      </c>
      <c r="AI15" s="341"/>
      <c r="AJ15" s="341"/>
      <c r="AK15" s="341"/>
      <c r="AL15" s="358">
        <f t="shared" si="8"/>
        <v>0</v>
      </c>
      <c r="AM15" s="366"/>
      <c r="AN15" s="366"/>
      <c r="AO15" s="348"/>
      <c r="AP15" s="349"/>
      <c r="AQ15" s="618"/>
      <c r="AR15" s="618"/>
      <c r="AS15" s="618"/>
      <c r="AT15" s="619"/>
      <c r="AU15" s="550"/>
      <c r="AV15" s="260" t="s">
        <v>152</v>
      </c>
      <c r="AW15" s="72">
        <f t="shared" si="9"/>
        <v>0</v>
      </c>
      <c r="AX15" s="72">
        <f t="shared" si="10"/>
        <v>0</v>
      </c>
      <c r="AY15" s="72">
        <f t="shared" si="11"/>
        <v>0</v>
      </c>
      <c r="AZ15" s="72">
        <f t="shared" si="12"/>
        <v>0</v>
      </c>
      <c r="BA15" s="260"/>
      <c r="BB15" s="73">
        <f>AW15*'School Info'!$E$19</f>
        <v>0</v>
      </c>
      <c r="BC15" s="73">
        <f>(AX15*'School Info'!$C$23)/1000</f>
        <v>0</v>
      </c>
      <c r="BD15" s="73">
        <f>AY15*'School Info'!$E$20</f>
        <v>0</v>
      </c>
      <c r="BE15" s="73">
        <f>(AZ15*'School Info'!$E$23)/1000</f>
        <v>0</v>
      </c>
      <c r="BG15" s="260">
        <f>IF(OR(AH15&gt;0,AL15&gt;0),MAX(BG14)+3,0)</f>
        <v>0</v>
      </c>
      <c r="BI15" s="652"/>
      <c r="BJ15" s="652"/>
      <c r="BK15" s="652"/>
      <c r="BL15" s="652"/>
    </row>
    <row r="16" spans="1:64" ht="23.25" customHeight="1">
      <c r="A16" s="462"/>
      <c r="B16" s="705"/>
      <c r="C16" s="706"/>
      <c r="D16" s="706"/>
      <c r="E16" s="706"/>
      <c r="F16" s="706"/>
      <c r="G16" s="706"/>
      <c r="H16" s="706"/>
      <c r="I16" s="706"/>
      <c r="J16" s="707"/>
      <c r="K16" s="108">
        <f t="shared" si="1"/>
        <v>0</v>
      </c>
      <c r="L16" s="81">
        <f>IF('School Info'!$W$7&gt;0,L15+1,"--")</f>
        <v>10</v>
      </c>
      <c r="M16" s="23">
        <f t="shared" si="14"/>
        <v>44905</v>
      </c>
      <c r="N16" s="22" t="str">
        <f t="shared" si="2"/>
        <v>Saturday</v>
      </c>
      <c r="O16" s="152" t="str">
        <f t="shared" si="3"/>
        <v>खुला</v>
      </c>
      <c r="P16" s="20" t="str">
        <f t="shared" si="4"/>
        <v>Saturday</v>
      </c>
      <c r="Q16" s="165" t="str">
        <f t="shared" si="5"/>
        <v>---</v>
      </c>
      <c r="R16" s="20" t="str">
        <f t="shared" si="6"/>
        <v>---</v>
      </c>
      <c r="S16" s="331">
        <f>IF('School Info'!$W$7&gt;=$L16,S15,"---")</f>
        <v>53</v>
      </c>
      <c r="T16" s="331">
        <f>IF('School Info'!$W$7&gt;=$L16,T15,"---")</f>
        <v>53</v>
      </c>
      <c r="U16" s="331">
        <f>IF('School Info'!$W$7&gt;=$L16,U15,"---")</f>
        <v>53</v>
      </c>
      <c r="V16" s="331">
        <f>IF('School Info'!$W$7&gt;=$L16,V15,"---")</f>
        <v>53</v>
      </c>
      <c r="W16" s="331">
        <f>IF('School Info'!$W$7&gt;=$L16,W15,"---")</f>
        <v>53</v>
      </c>
      <c r="X16" s="359">
        <f t="shared" si="15"/>
        <v>265</v>
      </c>
      <c r="Y16" s="331">
        <f>IF('School Info'!$W$7&gt;=$L16,Y15,"---")</f>
        <v>53</v>
      </c>
      <c r="Z16" s="331">
        <f>IF('School Info'!$W$7&gt;=$L16,Z15,"---")</f>
        <v>53</v>
      </c>
      <c r="AA16" s="331">
        <f>IF('School Info'!$W$7&gt;=$L16,AA15,"---")</f>
        <v>53</v>
      </c>
      <c r="AB16" s="358">
        <f t="shared" si="16"/>
        <v>159</v>
      </c>
      <c r="AC16" s="341"/>
      <c r="AD16" s="341"/>
      <c r="AE16" s="341"/>
      <c r="AF16" s="341"/>
      <c r="AG16" s="341"/>
      <c r="AH16" s="358">
        <f t="shared" si="7"/>
        <v>0</v>
      </c>
      <c r="AI16" s="341"/>
      <c r="AJ16" s="341"/>
      <c r="AK16" s="341"/>
      <c r="AL16" s="358">
        <f t="shared" si="8"/>
        <v>0</v>
      </c>
      <c r="AM16" s="366"/>
      <c r="AN16" s="366"/>
      <c r="AO16" s="348"/>
      <c r="AP16" s="349"/>
      <c r="AQ16" s="618"/>
      <c r="AR16" s="618"/>
      <c r="AS16" s="618"/>
      <c r="AT16" s="619"/>
      <c r="AU16" s="550"/>
      <c r="AV16" s="260" t="s">
        <v>153</v>
      </c>
      <c r="AW16" s="72">
        <f t="shared" si="9"/>
        <v>0</v>
      </c>
      <c r="AX16" s="72">
        <f t="shared" si="10"/>
        <v>0</v>
      </c>
      <c r="AY16" s="72">
        <f t="shared" si="11"/>
        <v>0</v>
      </c>
      <c r="AZ16" s="72">
        <f t="shared" si="12"/>
        <v>0</v>
      </c>
      <c r="BA16" s="260"/>
      <c r="BB16" s="73">
        <f>AW16*'School Info'!$E$19</f>
        <v>0</v>
      </c>
      <c r="BC16" s="73">
        <f>(AX16*'School Info'!$C$23)/1000</f>
        <v>0</v>
      </c>
      <c r="BD16" s="73">
        <f>AY16*'School Info'!$E$20</f>
        <v>0</v>
      </c>
      <c r="BE16" s="73">
        <f>(AZ16*'School Info'!$E$23)/1000</f>
        <v>0</v>
      </c>
      <c r="BG16" s="260">
        <f>IF(OR(AH16&gt;0,AL16&gt;0),MAX($BG$14:BG15)+3,0)</f>
        <v>0</v>
      </c>
      <c r="BI16" s="652"/>
      <c r="BJ16" s="652"/>
      <c r="BK16" s="652"/>
      <c r="BL16" s="652"/>
    </row>
    <row r="17" spans="1:64" ht="23.25" customHeight="1">
      <c r="A17" s="462"/>
      <c r="B17" s="696" t="s">
        <v>115</v>
      </c>
      <c r="C17" s="697"/>
      <c r="D17" s="697"/>
      <c r="E17" s="697"/>
      <c r="F17" s="697"/>
      <c r="G17" s="697"/>
      <c r="H17" s="697"/>
      <c r="I17" s="697"/>
      <c r="J17" s="698"/>
      <c r="K17" s="108">
        <f t="shared" si="1"/>
        <v>0</v>
      </c>
      <c r="L17" s="81">
        <f>IF('School Info'!$W$7&gt;0,L16+1,"--")</f>
        <v>11</v>
      </c>
      <c r="M17" s="23">
        <f t="shared" si="14"/>
        <v>44906</v>
      </c>
      <c r="N17" s="22" t="str">
        <f t="shared" si="2"/>
        <v>Sunday</v>
      </c>
      <c r="O17" s="152" t="str">
        <f t="shared" si="3"/>
        <v>रवि॰अव॰</v>
      </c>
      <c r="P17" s="20" t="str">
        <f t="shared" si="4"/>
        <v>Holiday</v>
      </c>
      <c r="Q17" s="165">
        <f t="shared" si="5"/>
        <v>0</v>
      </c>
      <c r="R17" s="20" t="str">
        <f t="shared" si="6"/>
        <v>---</v>
      </c>
      <c r="S17" s="331">
        <f>IF('School Info'!$W$7&gt;=$L17,S16,"---")</f>
        <v>53</v>
      </c>
      <c r="T17" s="331">
        <f>IF('School Info'!$W$7&gt;=$L17,T16,"---")</f>
        <v>53</v>
      </c>
      <c r="U17" s="331">
        <f>IF('School Info'!$W$7&gt;=$L17,U16,"---")</f>
        <v>53</v>
      </c>
      <c r="V17" s="331">
        <f>IF('School Info'!$W$7&gt;=$L17,V16,"---")</f>
        <v>53</v>
      </c>
      <c r="W17" s="331">
        <f>IF('School Info'!$W$7&gt;=$L17,W16,"---")</f>
        <v>53</v>
      </c>
      <c r="X17" s="359">
        <f t="shared" si="15"/>
        <v>265</v>
      </c>
      <c r="Y17" s="331">
        <f>IF('School Info'!$W$7&gt;=$L17,Y16,"---")</f>
        <v>53</v>
      </c>
      <c r="Z17" s="331">
        <f>IF('School Info'!$W$7&gt;=$L17,Z16,"---")</f>
        <v>53</v>
      </c>
      <c r="AA17" s="331">
        <f>IF('School Info'!$W$7&gt;=$L17,AA16,"---")</f>
        <v>53</v>
      </c>
      <c r="AB17" s="358">
        <f t="shared" si="16"/>
        <v>159</v>
      </c>
      <c r="AC17" s="341"/>
      <c r="AD17" s="341"/>
      <c r="AE17" s="341"/>
      <c r="AF17" s="341"/>
      <c r="AG17" s="341"/>
      <c r="AH17" s="358">
        <f t="shared" si="7"/>
        <v>0</v>
      </c>
      <c r="AI17" s="341"/>
      <c r="AJ17" s="341"/>
      <c r="AK17" s="341"/>
      <c r="AL17" s="358">
        <f t="shared" si="8"/>
        <v>0</v>
      </c>
      <c r="AM17" s="366"/>
      <c r="AN17" s="366"/>
      <c r="AO17" s="348"/>
      <c r="AP17" s="349"/>
      <c r="AQ17" s="618"/>
      <c r="AR17" s="618"/>
      <c r="AS17" s="618"/>
      <c r="AT17" s="619"/>
      <c r="AU17" s="550"/>
      <c r="AV17" s="260" t="s">
        <v>154</v>
      </c>
      <c r="AW17" s="72">
        <f t="shared" si="9"/>
        <v>0</v>
      </c>
      <c r="AX17" s="72">
        <f t="shared" si="10"/>
        <v>0</v>
      </c>
      <c r="AY17" s="72">
        <f t="shared" si="11"/>
        <v>0</v>
      </c>
      <c r="AZ17" s="72">
        <f t="shared" si="12"/>
        <v>0</v>
      </c>
      <c r="BA17" s="260"/>
      <c r="BB17" s="73">
        <f>AW17*'School Info'!$E$19</f>
        <v>0</v>
      </c>
      <c r="BC17" s="73">
        <f>(AX17*'School Info'!$C$23)/1000</f>
        <v>0</v>
      </c>
      <c r="BD17" s="73">
        <f>AY17*'School Info'!$E$20</f>
        <v>0</v>
      </c>
      <c r="BE17" s="73">
        <f>(AZ17*'School Info'!$E$23)/1000</f>
        <v>0</v>
      </c>
      <c r="BG17" s="260">
        <f>IF(OR(AH17&gt;0,AL17&gt;0),MAX($BG$14:BG16)+3,0)</f>
        <v>0</v>
      </c>
      <c r="BI17" s="652"/>
      <c r="BJ17" s="652"/>
      <c r="BK17" s="652"/>
      <c r="BL17" s="652"/>
    </row>
    <row r="18" spans="1:64" ht="23.25" customHeight="1" thickBot="1">
      <c r="A18" s="462"/>
      <c r="B18" s="699"/>
      <c r="C18" s="700"/>
      <c r="D18" s="700"/>
      <c r="E18" s="700"/>
      <c r="F18" s="700"/>
      <c r="G18" s="700"/>
      <c r="H18" s="700"/>
      <c r="I18" s="700"/>
      <c r="J18" s="701"/>
      <c r="K18" s="108">
        <f t="shared" si="1"/>
        <v>0</v>
      </c>
      <c r="L18" s="81">
        <f>IF('School Info'!$W$7&gt;0,L17+1,"--")</f>
        <v>12</v>
      </c>
      <c r="M18" s="23">
        <f t="shared" si="14"/>
        <v>44907</v>
      </c>
      <c r="N18" s="22" t="str">
        <f t="shared" si="2"/>
        <v>Monday</v>
      </c>
      <c r="O18" s="152" t="str">
        <f t="shared" si="3"/>
        <v>खुला</v>
      </c>
      <c r="P18" s="20" t="str">
        <f t="shared" si="4"/>
        <v>Monday</v>
      </c>
      <c r="Q18" s="165" t="str">
        <f t="shared" si="5"/>
        <v>---</v>
      </c>
      <c r="R18" s="20" t="str">
        <f t="shared" si="6"/>
        <v>---</v>
      </c>
      <c r="S18" s="331">
        <f>IF('School Info'!$W$7&gt;=$L18,S17,"---")</f>
        <v>53</v>
      </c>
      <c r="T18" s="331">
        <f>IF('School Info'!$W$7&gt;=$L18,T17,"---")</f>
        <v>53</v>
      </c>
      <c r="U18" s="331">
        <f>IF('School Info'!$W$7&gt;=$L18,U17,"---")</f>
        <v>53</v>
      </c>
      <c r="V18" s="331">
        <f>IF('School Info'!$W$7&gt;=$L18,V17,"---")</f>
        <v>53</v>
      </c>
      <c r="W18" s="331">
        <f>IF('School Info'!$W$7&gt;=$L18,W17,"---")</f>
        <v>53</v>
      </c>
      <c r="X18" s="359">
        <f t="shared" si="15"/>
        <v>265</v>
      </c>
      <c r="Y18" s="331">
        <f>IF('School Info'!$W$7&gt;=$L18,Y17,"---")</f>
        <v>53</v>
      </c>
      <c r="Z18" s="331">
        <f>IF('School Info'!$W$7&gt;=$L18,Z17,"---")</f>
        <v>53</v>
      </c>
      <c r="AA18" s="331">
        <f>IF('School Info'!$W$7&gt;=$L18,AA17,"---")</f>
        <v>53</v>
      </c>
      <c r="AB18" s="358">
        <f t="shared" si="16"/>
        <v>159</v>
      </c>
      <c r="AC18" s="341"/>
      <c r="AD18" s="341"/>
      <c r="AE18" s="341"/>
      <c r="AF18" s="341"/>
      <c r="AG18" s="341"/>
      <c r="AH18" s="358">
        <f t="shared" si="7"/>
        <v>0</v>
      </c>
      <c r="AI18" s="341"/>
      <c r="AJ18" s="341"/>
      <c r="AK18" s="341"/>
      <c r="AL18" s="358">
        <f t="shared" si="8"/>
        <v>0</v>
      </c>
      <c r="AM18" s="366"/>
      <c r="AN18" s="366"/>
      <c r="AO18" s="348"/>
      <c r="AP18" s="349"/>
      <c r="AQ18" s="618"/>
      <c r="AR18" s="618"/>
      <c r="AS18" s="618"/>
      <c r="AT18" s="619"/>
      <c r="AU18" s="550"/>
      <c r="AV18" s="260" t="s">
        <v>155</v>
      </c>
      <c r="AW18" s="72">
        <f t="shared" si="9"/>
        <v>0</v>
      </c>
      <c r="AX18" s="72">
        <f t="shared" si="10"/>
        <v>0</v>
      </c>
      <c r="AY18" s="72">
        <f t="shared" si="11"/>
        <v>0</v>
      </c>
      <c r="AZ18" s="72">
        <f t="shared" si="12"/>
        <v>0</v>
      </c>
      <c r="BA18" s="260"/>
      <c r="BB18" s="73">
        <f>AW18*'School Info'!$E$19</f>
        <v>0</v>
      </c>
      <c r="BC18" s="73">
        <f>(AX18*'School Info'!$C$23)/1000</f>
        <v>0</v>
      </c>
      <c r="BD18" s="73">
        <f>AY18*'School Info'!$E$20</f>
        <v>0</v>
      </c>
      <c r="BE18" s="73">
        <f>(AZ18*'School Info'!$E$23)/1000</f>
        <v>0</v>
      </c>
      <c r="BG18" s="260">
        <f>IF(OR(AH18&gt;0,AL18&gt;0),MAX($BG$14:BG17)+3,0)</f>
        <v>0</v>
      </c>
      <c r="BI18" s="652"/>
      <c r="BJ18" s="652"/>
      <c r="BK18" s="652"/>
      <c r="BL18" s="652"/>
    </row>
    <row r="19" spans="1:64" ht="23.25" customHeight="1">
      <c r="A19" s="462"/>
      <c r="B19" s="599" t="s">
        <v>116</v>
      </c>
      <c r="C19" s="600"/>
      <c r="D19" s="601"/>
      <c r="E19" s="599" t="s">
        <v>117</v>
      </c>
      <c r="F19" s="600"/>
      <c r="G19" s="601"/>
      <c r="H19" s="575" t="s">
        <v>118</v>
      </c>
      <c r="I19" s="576"/>
      <c r="J19" s="577"/>
      <c r="K19" s="108">
        <f t="shared" si="1"/>
        <v>0</v>
      </c>
      <c r="L19" s="81">
        <f>IF('School Info'!$W$7&gt;0,L18+1,"--")</f>
        <v>13</v>
      </c>
      <c r="M19" s="23">
        <f t="shared" si="14"/>
        <v>44908</v>
      </c>
      <c r="N19" s="22" t="str">
        <f t="shared" si="2"/>
        <v>Tuesday</v>
      </c>
      <c r="O19" s="152" t="str">
        <f t="shared" si="3"/>
        <v>खुला</v>
      </c>
      <c r="P19" s="20" t="str">
        <f t="shared" si="4"/>
        <v>Tuesday</v>
      </c>
      <c r="Q19" s="165" t="str">
        <f t="shared" si="5"/>
        <v xml:space="preserve">दूध </v>
      </c>
      <c r="R19" s="20" t="str">
        <f t="shared" si="6"/>
        <v>M</v>
      </c>
      <c r="S19" s="331">
        <f>IF('School Info'!$W$7&gt;=$L19,S18,"---")</f>
        <v>53</v>
      </c>
      <c r="T19" s="331">
        <f>IF('School Info'!$W$7&gt;=$L19,T18,"---")</f>
        <v>53</v>
      </c>
      <c r="U19" s="331">
        <f>IF('School Info'!$W$7&gt;=$L19,U18,"---")</f>
        <v>53</v>
      </c>
      <c r="V19" s="331">
        <f>IF('School Info'!$W$7&gt;=$L19,V18,"---")</f>
        <v>53</v>
      </c>
      <c r="W19" s="331">
        <f>IF('School Info'!$W$7&gt;=$L19,W18,"---")</f>
        <v>53</v>
      </c>
      <c r="X19" s="359">
        <f t="shared" si="15"/>
        <v>265</v>
      </c>
      <c r="Y19" s="331">
        <f>IF('School Info'!$W$7&gt;=$L19,Y18,"---")</f>
        <v>53</v>
      </c>
      <c r="Z19" s="331">
        <f>IF('School Info'!$W$7&gt;=$L19,Z18,"---")</f>
        <v>53</v>
      </c>
      <c r="AA19" s="331">
        <f>IF('School Info'!$W$7&gt;=$L19,AA18,"---")</f>
        <v>53</v>
      </c>
      <c r="AB19" s="358">
        <f t="shared" si="16"/>
        <v>159</v>
      </c>
      <c r="AC19" s="341"/>
      <c r="AD19" s="341"/>
      <c r="AE19" s="341"/>
      <c r="AF19" s="341"/>
      <c r="AG19" s="341"/>
      <c r="AH19" s="358">
        <f t="shared" si="7"/>
        <v>0</v>
      </c>
      <c r="AI19" s="341"/>
      <c r="AJ19" s="341"/>
      <c r="AK19" s="341"/>
      <c r="AL19" s="358">
        <f t="shared" si="8"/>
        <v>0</v>
      </c>
      <c r="AM19" s="366"/>
      <c r="AN19" s="366"/>
      <c r="AO19" s="348"/>
      <c r="AP19" s="349"/>
      <c r="AQ19" s="618"/>
      <c r="AR19" s="618"/>
      <c r="AS19" s="618"/>
      <c r="AT19" s="619"/>
      <c r="AU19" s="550"/>
      <c r="AV19" s="260" t="s">
        <v>156</v>
      </c>
      <c r="AW19" s="72">
        <f t="shared" si="9"/>
        <v>0</v>
      </c>
      <c r="AX19" s="72">
        <f t="shared" si="10"/>
        <v>0</v>
      </c>
      <c r="AY19" s="72">
        <f t="shared" si="11"/>
        <v>0</v>
      </c>
      <c r="AZ19" s="72">
        <f t="shared" si="12"/>
        <v>0</v>
      </c>
      <c r="BA19" s="260"/>
      <c r="BB19" s="73">
        <f>AW19*'School Info'!$E$19</f>
        <v>0</v>
      </c>
      <c r="BC19" s="73">
        <f>(AX19*'School Info'!$C$23)/1000</f>
        <v>0</v>
      </c>
      <c r="BD19" s="73">
        <f>AY19*'School Info'!$E$20</f>
        <v>0</v>
      </c>
      <c r="BE19" s="73">
        <f>(AZ19*'School Info'!$E$23)/1000</f>
        <v>0</v>
      </c>
      <c r="BG19" s="260">
        <f>IF(OR(AH19&gt;0,AL19&gt;0),MAX($BG$14:BG18)+3,0)</f>
        <v>0</v>
      </c>
      <c r="BI19" s="652"/>
      <c r="BJ19" s="652"/>
      <c r="BK19" s="652"/>
      <c r="BL19" s="652"/>
    </row>
    <row r="20" spans="1:64" ht="23.25" customHeight="1">
      <c r="A20" s="462"/>
      <c r="B20" s="562" t="s">
        <v>178</v>
      </c>
      <c r="C20" s="563"/>
      <c r="D20" s="564"/>
      <c r="E20" s="565" t="s">
        <v>119</v>
      </c>
      <c r="F20" s="566"/>
      <c r="G20" s="567"/>
      <c r="H20" s="695" t="s">
        <v>184</v>
      </c>
      <c r="I20" s="573"/>
      <c r="J20" s="574"/>
      <c r="K20" s="108">
        <f t="shared" si="1"/>
        <v>0</v>
      </c>
      <c r="L20" s="81">
        <f>IF('School Info'!$W$7&gt;0,L19+1,"--")</f>
        <v>14</v>
      </c>
      <c r="M20" s="23">
        <f t="shared" si="14"/>
        <v>44909</v>
      </c>
      <c r="N20" s="22" t="str">
        <f t="shared" si="2"/>
        <v>Wednesday</v>
      </c>
      <c r="O20" s="152" t="str">
        <f t="shared" si="3"/>
        <v>खुला</v>
      </c>
      <c r="P20" s="20" t="str">
        <f t="shared" si="4"/>
        <v>Wednesday</v>
      </c>
      <c r="Q20" s="165" t="str">
        <f t="shared" si="5"/>
        <v>---</v>
      </c>
      <c r="R20" s="20" t="str">
        <f t="shared" si="6"/>
        <v>---</v>
      </c>
      <c r="S20" s="331">
        <f>IF('School Info'!$W$7&gt;=$L20,S19,"---")</f>
        <v>53</v>
      </c>
      <c r="T20" s="331">
        <f>IF('School Info'!$W$7&gt;=$L20,T19,"---")</f>
        <v>53</v>
      </c>
      <c r="U20" s="331">
        <f>IF('School Info'!$W$7&gt;=$L20,U19,"---")</f>
        <v>53</v>
      </c>
      <c r="V20" s="331">
        <f>IF('School Info'!$W$7&gt;=$L20,V19,"---")</f>
        <v>53</v>
      </c>
      <c r="W20" s="331">
        <f>IF('School Info'!$W$7&gt;=$L20,W19,"---")</f>
        <v>53</v>
      </c>
      <c r="X20" s="359">
        <f t="shared" si="15"/>
        <v>265</v>
      </c>
      <c r="Y20" s="331">
        <f>IF('School Info'!$W$7&gt;=$L20,Y19,"---")</f>
        <v>53</v>
      </c>
      <c r="Z20" s="331">
        <f>IF('School Info'!$W$7&gt;=$L20,Z19,"---")</f>
        <v>53</v>
      </c>
      <c r="AA20" s="331">
        <f>IF('School Info'!$W$7&gt;=$L20,AA19,"---")</f>
        <v>53</v>
      </c>
      <c r="AB20" s="358">
        <f t="shared" si="16"/>
        <v>159</v>
      </c>
      <c r="AC20" s="341"/>
      <c r="AD20" s="341"/>
      <c r="AE20" s="341"/>
      <c r="AF20" s="341"/>
      <c r="AG20" s="341"/>
      <c r="AH20" s="358">
        <f t="shared" si="7"/>
        <v>0</v>
      </c>
      <c r="AI20" s="341"/>
      <c r="AJ20" s="341"/>
      <c r="AK20" s="341"/>
      <c r="AL20" s="358">
        <f t="shared" si="8"/>
        <v>0</v>
      </c>
      <c r="AM20" s="366"/>
      <c r="AN20" s="366"/>
      <c r="AO20" s="348"/>
      <c r="AP20" s="349"/>
      <c r="AQ20" s="618"/>
      <c r="AR20" s="618"/>
      <c r="AS20" s="618"/>
      <c r="AT20" s="619"/>
      <c r="AU20" s="550"/>
      <c r="AV20" s="260" t="s">
        <v>157</v>
      </c>
      <c r="AW20" s="72">
        <f t="shared" si="9"/>
        <v>0</v>
      </c>
      <c r="AX20" s="72">
        <f t="shared" si="10"/>
        <v>0</v>
      </c>
      <c r="AY20" s="72">
        <f t="shared" si="11"/>
        <v>0</v>
      </c>
      <c r="AZ20" s="72">
        <f t="shared" si="12"/>
        <v>0</v>
      </c>
      <c r="BA20" s="260"/>
      <c r="BB20" s="73">
        <f>AW20*'School Info'!$E$19</f>
        <v>0</v>
      </c>
      <c r="BC20" s="73">
        <f>(AX20*'School Info'!$C$23)/1000</f>
        <v>0</v>
      </c>
      <c r="BD20" s="73">
        <f>AY20*'School Info'!$E$20</f>
        <v>0</v>
      </c>
      <c r="BE20" s="73">
        <f>(AZ20*'School Info'!$E$23)/1000</f>
        <v>0</v>
      </c>
      <c r="BG20" s="260">
        <f>IF(OR(AH20&gt;0,AL20&gt;0),MAX($BG$14:BG19)+3,0)</f>
        <v>0</v>
      </c>
      <c r="BI20" s="652"/>
      <c r="BJ20" s="652"/>
      <c r="BK20" s="652"/>
      <c r="BL20" s="652"/>
    </row>
    <row r="21" spans="1:64" ht="23.25" customHeight="1">
      <c r="A21" s="462"/>
      <c r="B21" s="562" t="s">
        <v>179</v>
      </c>
      <c r="C21" s="563"/>
      <c r="D21" s="564"/>
      <c r="E21" s="565" t="s">
        <v>308</v>
      </c>
      <c r="F21" s="566"/>
      <c r="G21" s="567"/>
      <c r="H21" s="572" t="s">
        <v>120</v>
      </c>
      <c r="I21" s="573"/>
      <c r="J21" s="574"/>
      <c r="K21" s="108">
        <f t="shared" si="1"/>
        <v>0</v>
      </c>
      <c r="L21" s="81">
        <f>IF('School Info'!$W$7&gt;0,L20+1,"--")</f>
        <v>15</v>
      </c>
      <c r="M21" s="23">
        <f t="shared" si="14"/>
        <v>44910</v>
      </c>
      <c r="N21" s="22" t="str">
        <f t="shared" si="2"/>
        <v>Thursday</v>
      </c>
      <c r="O21" s="152" t="str">
        <f t="shared" si="3"/>
        <v>खुला</v>
      </c>
      <c r="P21" s="20" t="str">
        <f t="shared" si="4"/>
        <v>Thursday</v>
      </c>
      <c r="Q21" s="165" t="str">
        <f t="shared" si="5"/>
        <v>---</v>
      </c>
      <c r="R21" s="20" t="str">
        <f t="shared" si="6"/>
        <v>---</v>
      </c>
      <c r="S21" s="331">
        <f>IF('School Info'!$W$7&gt;=$L21,S20,"---")</f>
        <v>53</v>
      </c>
      <c r="T21" s="331">
        <f>IF('School Info'!$W$7&gt;=$L21,T20,"---")</f>
        <v>53</v>
      </c>
      <c r="U21" s="331">
        <f>IF('School Info'!$W$7&gt;=$L21,U20,"---")</f>
        <v>53</v>
      </c>
      <c r="V21" s="331">
        <f>IF('School Info'!$W$7&gt;=$L21,V20,"---")</f>
        <v>53</v>
      </c>
      <c r="W21" s="331">
        <f>IF('School Info'!$W$7&gt;=$L21,W20,"---")</f>
        <v>53</v>
      </c>
      <c r="X21" s="359">
        <f t="shared" si="15"/>
        <v>265</v>
      </c>
      <c r="Y21" s="331">
        <f>IF('School Info'!$W$7&gt;=$L21,Y20,"---")</f>
        <v>53</v>
      </c>
      <c r="Z21" s="331">
        <f>IF('School Info'!$W$7&gt;=$L21,Z20,"---")</f>
        <v>53</v>
      </c>
      <c r="AA21" s="331">
        <f>IF('School Info'!$W$7&gt;=$L21,AA20,"---")</f>
        <v>53</v>
      </c>
      <c r="AB21" s="358">
        <f t="shared" si="16"/>
        <v>159</v>
      </c>
      <c r="AC21" s="341"/>
      <c r="AD21" s="341"/>
      <c r="AE21" s="341"/>
      <c r="AF21" s="341"/>
      <c r="AG21" s="341"/>
      <c r="AH21" s="358">
        <f t="shared" si="7"/>
        <v>0</v>
      </c>
      <c r="AI21" s="341"/>
      <c r="AJ21" s="341"/>
      <c r="AK21" s="341"/>
      <c r="AL21" s="358">
        <f t="shared" si="8"/>
        <v>0</v>
      </c>
      <c r="AM21" s="366"/>
      <c r="AN21" s="366"/>
      <c r="AO21" s="348"/>
      <c r="AP21" s="349"/>
      <c r="AQ21" s="618"/>
      <c r="AR21" s="618"/>
      <c r="AS21" s="618"/>
      <c r="AT21" s="619"/>
      <c r="AU21" s="550"/>
      <c r="AV21" s="260" t="s">
        <v>158</v>
      </c>
      <c r="AW21" s="72">
        <f t="shared" si="9"/>
        <v>0</v>
      </c>
      <c r="AX21" s="72">
        <f t="shared" si="10"/>
        <v>0</v>
      </c>
      <c r="AY21" s="72">
        <f t="shared" si="11"/>
        <v>0</v>
      </c>
      <c r="AZ21" s="72">
        <f t="shared" si="12"/>
        <v>0</v>
      </c>
      <c r="BA21" s="260"/>
      <c r="BB21" s="73">
        <f>AW21*'School Info'!$E$19</f>
        <v>0</v>
      </c>
      <c r="BC21" s="73">
        <f>(AX21*'School Info'!$C$23)/1000</f>
        <v>0</v>
      </c>
      <c r="BD21" s="73">
        <f>AY21*'School Info'!$E$20</f>
        <v>0</v>
      </c>
      <c r="BE21" s="73">
        <f>(AZ21*'School Info'!$E$23)/1000</f>
        <v>0</v>
      </c>
      <c r="BG21" s="260">
        <f>IF(OR(AH21&gt;0,AL21&gt;0),4,0)</f>
        <v>0</v>
      </c>
      <c r="BI21" s="651">
        <f t="shared" ref="BI21" si="22">SUM(AM21:AM27)</f>
        <v>0</v>
      </c>
      <c r="BJ21" s="651">
        <f t="shared" ref="BJ21" si="23">SUM(AN21:AN27)</f>
        <v>0</v>
      </c>
      <c r="BK21" s="651">
        <f t="shared" ref="BK21" si="24">SUM(AO21:AO27)</f>
        <v>0</v>
      </c>
      <c r="BL21" s="651">
        <f t="shared" ref="BL21" si="25">SUM(AP21:AP27)</f>
        <v>0</v>
      </c>
    </row>
    <row r="22" spans="1:64" ht="23.25" customHeight="1">
      <c r="A22" s="462"/>
      <c r="B22" s="562" t="s">
        <v>180</v>
      </c>
      <c r="C22" s="563"/>
      <c r="D22" s="564"/>
      <c r="E22" s="565" t="s">
        <v>121</v>
      </c>
      <c r="F22" s="566"/>
      <c r="G22" s="567"/>
      <c r="H22" s="695" t="s">
        <v>184</v>
      </c>
      <c r="I22" s="573"/>
      <c r="J22" s="574"/>
      <c r="K22" s="108">
        <f t="shared" si="1"/>
        <v>0</v>
      </c>
      <c r="L22" s="81">
        <f>IF('School Info'!$W$7&gt;0,L21+1,"--")</f>
        <v>16</v>
      </c>
      <c r="M22" s="23">
        <f>M21+1</f>
        <v>44911</v>
      </c>
      <c r="N22" s="22" t="str">
        <f t="shared" si="2"/>
        <v>Friday</v>
      </c>
      <c r="O22" s="152" t="str">
        <f t="shared" si="3"/>
        <v>खुला</v>
      </c>
      <c r="P22" s="20" t="str">
        <f t="shared" si="4"/>
        <v>Friday</v>
      </c>
      <c r="Q22" s="165" t="str">
        <f t="shared" si="5"/>
        <v xml:space="preserve">दूध </v>
      </c>
      <c r="R22" s="20" t="str">
        <f t="shared" si="6"/>
        <v>M</v>
      </c>
      <c r="S22" s="331">
        <f>IF('School Info'!$W$7&gt;=$L22,S21,"---")</f>
        <v>53</v>
      </c>
      <c r="T22" s="331">
        <f>IF('School Info'!$W$7&gt;=$L22,T21,"---")</f>
        <v>53</v>
      </c>
      <c r="U22" s="331">
        <f>IF('School Info'!$W$7&gt;=$L22,U21,"---")</f>
        <v>53</v>
      </c>
      <c r="V22" s="331">
        <f>IF('School Info'!$W$7&gt;=$L22,V21,"---")</f>
        <v>53</v>
      </c>
      <c r="W22" s="331">
        <f>IF('School Info'!$W$7&gt;=$L22,W21,"---")</f>
        <v>53</v>
      </c>
      <c r="X22" s="359">
        <f t="shared" si="15"/>
        <v>265</v>
      </c>
      <c r="Y22" s="331">
        <f>IF('School Info'!$W$7&gt;=$L22,Y21,"---")</f>
        <v>53</v>
      </c>
      <c r="Z22" s="331">
        <f>IF('School Info'!$W$7&gt;=$L22,Z21,"---")</f>
        <v>53</v>
      </c>
      <c r="AA22" s="331">
        <f>IF('School Info'!$W$7&gt;=$L22,AA21,"---")</f>
        <v>53</v>
      </c>
      <c r="AB22" s="358">
        <f t="shared" si="16"/>
        <v>159</v>
      </c>
      <c r="AC22" s="341"/>
      <c r="AD22" s="341"/>
      <c r="AE22" s="341"/>
      <c r="AF22" s="341"/>
      <c r="AG22" s="341"/>
      <c r="AH22" s="358">
        <f t="shared" si="7"/>
        <v>0</v>
      </c>
      <c r="AI22" s="341"/>
      <c r="AJ22" s="341"/>
      <c r="AK22" s="341"/>
      <c r="AL22" s="358">
        <f t="shared" si="8"/>
        <v>0</v>
      </c>
      <c r="AM22" s="366"/>
      <c r="AN22" s="366"/>
      <c r="AO22" s="348"/>
      <c r="AP22" s="349"/>
      <c r="AQ22" s="618"/>
      <c r="AR22" s="618"/>
      <c r="AS22" s="618"/>
      <c r="AT22" s="619"/>
      <c r="AU22" s="550"/>
      <c r="AV22" s="260" t="s">
        <v>159</v>
      </c>
      <c r="AW22" s="72">
        <f t="shared" si="9"/>
        <v>0</v>
      </c>
      <c r="AX22" s="72">
        <f t="shared" si="10"/>
        <v>0</v>
      </c>
      <c r="AY22" s="72">
        <f t="shared" si="11"/>
        <v>0</v>
      </c>
      <c r="AZ22" s="72">
        <f t="shared" si="12"/>
        <v>0</v>
      </c>
      <c r="BA22" s="260"/>
      <c r="BB22" s="73">
        <f>AW22*'School Info'!$E$19</f>
        <v>0</v>
      </c>
      <c r="BC22" s="73">
        <f>(AX22*'School Info'!$C$23)/1000</f>
        <v>0</v>
      </c>
      <c r="BD22" s="73">
        <f>AY22*'School Info'!$E$20</f>
        <v>0</v>
      </c>
      <c r="BE22" s="73">
        <f>(AZ22*'School Info'!$E$23)/1000</f>
        <v>0</v>
      </c>
      <c r="BG22" s="260">
        <f>IF(OR(AH22&gt;0,AL22&gt;0),MAX(BG21)+4,0)</f>
        <v>0</v>
      </c>
      <c r="BI22" s="652"/>
      <c r="BJ22" s="652"/>
      <c r="BK22" s="652"/>
      <c r="BL22" s="652"/>
    </row>
    <row r="23" spans="1:64" ht="23.25" customHeight="1">
      <c r="A23" s="462"/>
      <c r="B23" s="562" t="s">
        <v>181</v>
      </c>
      <c r="C23" s="563"/>
      <c r="D23" s="564"/>
      <c r="E23" s="565" t="s">
        <v>306</v>
      </c>
      <c r="F23" s="566"/>
      <c r="G23" s="567"/>
      <c r="H23" s="695" t="s">
        <v>184</v>
      </c>
      <c r="I23" s="573"/>
      <c r="J23" s="574"/>
      <c r="K23" s="108">
        <f t="shared" si="1"/>
        <v>0</v>
      </c>
      <c r="L23" s="81">
        <f>IF('School Info'!$W$7&gt;0,L22+1,"--")</f>
        <v>17</v>
      </c>
      <c r="M23" s="23">
        <f t="shared" si="14"/>
        <v>44912</v>
      </c>
      <c r="N23" s="22" t="str">
        <f t="shared" si="2"/>
        <v>Saturday</v>
      </c>
      <c r="O23" s="152" t="str">
        <f t="shared" si="3"/>
        <v>खुला</v>
      </c>
      <c r="P23" s="20" t="str">
        <f t="shared" si="4"/>
        <v>Saturday</v>
      </c>
      <c r="Q23" s="165" t="str">
        <f t="shared" si="5"/>
        <v>---</v>
      </c>
      <c r="R23" s="20" t="str">
        <f t="shared" si="6"/>
        <v>---</v>
      </c>
      <c r="S23" s="331">
        <f>IF('School Info'!$W$7&gt;=$L23,S22,"---")</f>
        <v>53</v>
      </c>
      <c r="T23" s="331">
        <f>IF('School Info'!$W$7&gt;=$L23,T22,"---")</f>
        <v>53</v>
      </c>
      <c r="U23" s="331">
        <f>IF('School Info'!$W$7&gt;=$L23,U22,"---")</f>
        <v>53</v>
      </c>
      <c r="V23" s="331">
        <f>IF('School Info'!$W$7&gt;=$L23,V22,"---")</f>
        <v>53</v>
      </c>
      <c r="W23" s="331">
        <f>IF('School Info'!$W$7&gt;=$L23,W22,"---")</f>
        <v>53</v>
      </c>
      <c r="X23" s="359">
        <f t="shared" si="15"/>
        <v>265</v>
      </c>
      <c r="Y23" s="331">
        <f>IF('School Info'!$W$7&gt;=$L23,Y22,"---")</f>
        <v>53</v>
      </c>
      <c r="Z23" s="331">
        <f>IF('School Info'!$W$7&gt;=$L23,Z22,"---")</f>
        <v>53</v>
      </c>
      <c r="AA23" s="331">
        <f>IF('School Info'!$W$7&gt;=$L23,AA22,"---")</f>
        <v>53</v>
      </c>
      <c r="AB23" s="358">
        <f t="shared" si="16"/>
        <v>159</v>
      </c>
      <c r="AC23" s="341"/>
      <c r="AD23" s="341"/>
      <c r="AE23" s="341"/>
      <c r="AF23" s="341"/>
      <c r="AG23" s="341"/>
      <c r="AH23" s="358">
        <f t="shared" si="7"/>
        <v>0</v>
      </c>
      <c r="AI23" s="341"/>
      <c r="AJ23" s="341"/>
      <c r="AK23" s="341"/>
      <c r="AL23" s="358">
        <f t="shared" si="8"/>
        <v>0</v>
      </c>
      <c r="AM23" s="366"/>
      <c r="AN23" s="366"/>
      <c r="AO23" s="348"/>
      <c r="AP23" s="349"/>
      <c r="AQ23" s="618"/>
      <c r="AR23" s="618"/>
      <c r="AS23" s="618"/>
      <c r="AT23" s="619"/>
      <c r="AU23" s="550"/>
      <c r="AV23" s="260" t="s">
        <v>160</v>
      </c>
      <c r="AW23" s="72">
        <f t="shared" si="9"/>
        <v>0</v>
      </c>
      <c r="AX23" s="72">
        <f t="shared" si="10"/>
        <v>0</v>
      </c>
      <c r="AY23" s="72">
        <f t="shared" si="11"/>
        <v>0</v>
      </c>
      <c r="AZ23" s="72">
        <f t="shared" si="12"/>
        <v>0</v>
      </c>
      <c r="BA23" s="260"/>
      <c r="BB23" s="73">
        <f>AW23*'School Info'!$E$19</f>
        <v>0</v>
      </c>
      <c r="BC23" s="73">
        <f>(AX23*'School Info'!$C$23)/1000</f>
        <v>0</v>
      </c>
      <c r="BD23" s="73">
        <f>AY23*'School Info'!$E$20</f>
        <v>0</v>
      </c>
      <c r="BE23" s="73">
        <f>(AZ23*'School Info'!$E$23)/1000</f>
        <v>0</v>
      </c>
      <c r="BG23" s="260">
        <f>IF(OR(AH23&gt;0,AL23&gt;0),MAX($BG$21:BG22)+4,0)</f>
        <v>0</v>
      </c>
      <c r="BI23" s="652"/>
      <c r="BJ23" s="652"/>
      <c r="BK23" s="652"/>
      <c r="BL23" s="652"/>
    </row>
    <row r="24" spans="1:64" ht="23.25" customHeight="1">
      <c r="A24" s="462"/>
      <c r="B24" s="562" t="s">
        <v>182</v>
      </c>
      <c r="C24" s="563"/>
      <c r="D24" s="564"/>
      <c r="E24" s="565" t="s">
        <v>121</v>
      </c>
      <c r="F24" s="566"/>
      <c r="G24" s="567"/>
      <c r="H24" s="572" t="s">
        <v>120</v>
      </c>
      <c r="I24" s="573"/>
      <c r="J24" s="574"/>
      <c r="K24" s="108">
        <f t="shared" si="1"/>
        <v>0</v>
      </c>
      <c r="L24" s="81">
        <f>IF('School Info'!$W$7&gt;0,L23+1,"--")</f>
        <v>18</v>
      </c>
      <c r="M24" s="23">
        <f t="shared" si="14"/>
        <v>44913</v>
      </c>
      <c r="N24" s="22" t="str">
        <f t="shared" si="2"/>
        <v>Sunday</v>
      </c>
      <c r="O24" s="152" t="str">
        <f t="shared" si="3"/>
        <v>रवि॰अव॰</v>
      </c>
      <c r="P24" s="20" t="str">
        <f t="shared" si="4"/>
        <v>Holiday</v>
      </c>
      <c r="Q24" s="165">
        <f t="shared" si="5"/>
        <v>0</v>
      </c>
      <c r="R24" s="20" t="str">
        <f t="shared" si="6"/>
        <v>---</v>
      </c>
      <c r="S24" s="331">
        <f>IF('School Info'!$W$7&gt;=$L24,S23,"---")</f>
        <v>53</v>
      </c>
      <c r="T24" s="331">
        <f>IF('School Info'!$W$7&gt;=$L24,T23,"---")</f>
        <v>53</v>
      </c>
      <c r="U24" s="331">
        <f>IF('School Info'!$W$7&gt;=$L24,U23,"---")</f>
        <v>53</v>
      </c>
      <c r="V24" s="331">
        <f>IF('School Info'!$W$7&gt;=$L24,V23,"---")</f>
        <v>53</v>
      </c>
      <c r="W24" s="331">
        <f>IF('School Info'!$W$7&gt;=$L24,W23,"---")</f>
        <v>53</v>
      </c>
      <c r="X24" s="359">
        <f t="shared" si="15"/>
        <v>265</v>
      </c>
      <c r="Y24" s="331">
        <f>IF('School Info'!$W$7&gt;=$L24,Y23,"---")</f>
        <v>53</v>
      </c>
      <c r="Z24" s="331">
        <f>IF('School Info'!$W$7&gt;=$L24,Z23,"---")</f>
        <v>53</v>
      </c>
      <c r="AA24" s="331">
        <f>IF('School Info'!$W$7&gt;=$L24,AA23,"---")</f>
        <v>53</v>
      </c>
      <c r="AB24" s="358">
        <f t="shared" si="16"/>
        <v>159</v>
      </c>
      <c r="AC24" s="341"/>
      <c r="AD24" s="341"/>
      <c r="AE24" s="341"/>
      <c r="AF24" s="341"/>
      <c r="AG24" s="341"/>
      <c r="AH24" s="358">
        <f t="shared" si="7"/>
        <v>0</v>
      </c>
      <c r="AI24" s="341"/>
      <c r="AJ24" s="341"/>
      <c r="AK24" s="341"/>
      <c r="AL24" s="358">
        <f t="shared" si="8"/>
        <v>0</v>
      </c>
      <c r="AM24" s="366"/>
      <c r="AN24" s="366"/>
      <c r="AO24" s="348"/>
      <c r="AP24" s="349"/>
      <c r="AQ24" s="618"/>
      <c r="AR24" s="618"/>
      <c r="AS24" s="618"/>
      <c r="AT24" s="619"/>
      <c r="AU24" s="550"/>
      <c r="AV24" s="260" t="s">
        <v>162</v>
      </c>
      <c r="AW24" s="72">
        <f t="shared" si="9"/>
        <v>0</v>
      </c>
      <c r="AX24" s="72">
        <f t="shared" si="10"/>
        <v>0</v>
      </c>
      <c r="AY24" s="72">
        <f t="shared" si="11"/>
        <v>0</v>
      </c>
      <c r="AZ24" s="72">
        <f t="shared" si="12"/>
        <v>0</v>
      </c>
      <c r="BA24" s="260"/>
      <c r="BB24" s="73">
        <f>AW24*'School Info'!$E$19</f>
        <v>0</v>
      </c>
      <c r="BC24" s="73">
        <f>(AX24*'School Info'!$C$23)/1000</f>
        <v>0</v>
      </c>
      <c r="BD24" s="73">
        <f>AY24*'School Info'!$E$20</f>
        <v>0</v>
      </c>
      <c r="BE24" s="73">
        <f>(AZ24*'School Info'!$E$23)/1000</f>
        <v>0</v>
      </c>
      <c r="BG24" s="260">
        <f>IF(OR(AH24&gt;0,AL24&gt;0),MAX($BG$21:BG23)+4,0)</f>
        <v>0</v>
      </c>
      <c r="BI24" s="652"/>
      <c r="BJ24" s="652"/>
      <c r="BK24" s="652"/>
      <c r="BL24" s="652"/>
    </row>
    <row r="25" spans="1:64" ht="23.25" customHeight="1" thickBot="1">
      <c r="A25" s="462"/>
      <c r="B25" s="535" t="s">
        <v>183</v>
      </c>
      <c r="C25" s="536"/>
      <c r="D25" s="537"/>
      <c r="E25" s="538" t="s">
        <v>119</v>
      </c>
      <c r="F25" s="539"/>
      <c r="G25" s="540"/>
      <c r="H25" s="708" t="s">
        <v>184</v>
      </c>
      <c r="I25" s="542"/>
      <c r="J25" s="543"/>
      <c r="K25" s="108">
        <f t="shared" si="1"/>
        <v>0</v>
      </c>
      <c r="L25" s="81">
        <f>IF('School Info'!$W$7&gt;0,L24+1,"--")</f>
        <v>19</v>
      </c>
      <c r="M25" s="23">
        <f t="shared" si="14"/>
        <v>44914</v>
      </c>
      <c r="N25" s="22" t="str">
        <f t="shared" si="2"/>
        <v>Monday</v>
      </c>
      <c r="O25" s="152" t="str">
        <f t="shared" si="3"/>
        <v>खुला</v>
      </c>
      <c r="P25" s="20" t="str">
        <f t="shared" si="4"/>
        <v>Monday</v>
      </c>
      <c r="Q25" s="165" t="str">
        <f t="shared" si="5"/>
        <v>---</v>
      </c>
      <c r="R25" s="20" t="str">
        <f t="shared" si="6"/>
        <v>---</v>
      </c>
      <c r="S25" s="331">
        <f>IF('School Info'!$W$7&gt;=$L25,S24,"---")</f>
        <v>53</v>
      </c>
      <c r="T25" s="331">
        <f>IF('School Info'!$W$7&gt;=$L25,T24,"---")</f>
        <v>53</v>
      </c>
      <c r="U25" s="331">
        <f>IF('School Info'!$W$7&gt;=$L25,U24,"---")</f>
        <v>53</v>
      </c>
      <c r="V25" s="331">
        <f>IF('School Info'!$W$7&gt;=$L25,V24,"---")</f>
        <v>53</v>
      </c>
      <c r="W25" s="331">
        <f>IF('School Info'!$W$7&gt;=$L25,W24,"---")</f>
        <v>53</v>
      </c>
      <c r="X25" s="359">
        <f t="shared" si="15"/>
        <v>265</v>
      </c>
      <c r="Y25" s="331">
        <f>IF('School Info'!$W$7&gt;=$L25,Y24,"---")</f>
        <v>53</v>
      </c>
      <c r="Z25" s="331">
        <f>IF('School Info'!$W$7&gt;=$L25,Z24,"---")</f>
        <v>53</v>
      </c>
      <c r="AA25" s="331">
        <f>IF('School Info'!$W$7&gt;=$L25,AA24,"---")</f>
        <v>53</v>
      </c>
      <c r="AB25" s="358">
        <f t="shared" si="16"/>
        <v>159</v>
      </c>
      <c r="AC25" s="341"/>
      <c r="AD25" s="341"/>
      <c r="AE25" s="341"/>
      <c r="AF25" s="341"/>
      <c r="AG25" s="341"/>
      <c r="AH25" s="358">
        <f t="shared" si="7"/>
        <v>0</v>
      </c>
      <c r="AI25" s="341"/>
      <c r="AJ25" s="341"/>
      <c r="AK25" s="341"/>
      <c r="AL25" s="358">
        <f t="shared" si="8"/>
        <v>0</v>
      </c>
      <c r="AM25" s="366"/>
      <c r="AN25" s="366"/>
      <c r="AO25" s="348"/>
      <c r="AP25" s="349"/>
      <c r="AQ25" s="618"/>
      <c r="AR25" s="618"/>
      <c r="AS25" s="618"/>
      <c r="AT25" s="619"/>
      <c r="AU25" s="550"/>
      <c r="AV25" s="260" t="s">
        <v>161</v>
      </c>
      <c r="AW25" s="72">
        <f t="shared" si="9"/>
        <v>0</v>
      </c>
      <c r="AX25" s="72">
        <f t="shared" si="10"/>
        <v>0</v>
      </c>
      <c r="AY25" s="72">
        <f t="shared" si="11"/>
        <v>0</v>
      </c>
      <c r="AZ25" s="72">
        <f t="shared" si="12"/>
        <v>0</v>
      </c>
      <c r="BA25" s="260"/>
      <c r="BB25" s="73">
        <f>AW25*'School Info'!$E$19</f>
        <v>0</v>
      </c>
      <c r="BC25" s="73">
        <f>(AX25*'School Info'!$C$23)/1000</f>
        <v>0</v>
      </c>
      <c r="BD25" s="73">
        <f>AY25*'School Info'!$E$20</f>
        <v>0</v>
      </c>
      <c r="BE25" s="73">
        <f>(AZ25*'School Info'!$E$23)/1000</f>
        <v>0</v>
      </c>
      <c r="BG25" s="260">
        <f>IF(OR(AH25&gt;0,AL25&gt;0),MAX($BG$21:BG24)+4,0)</f>
        <v>0</v>
      </c>
      <c r="BI25" s="652"/>
      <c r="BJ25" s="652"/>
      <c r="BK25" s="652"/>
      <c r="BL25" s="652"/>
    </row>
    <row r="26" spans="1:64" ht="23.25" customHeight="1" thickBot="1">
      <c r="A26" s="462"/>
      <c r="B26" s="530" t="s">
        <v>244</v>
      </c>
      <c r="C26" s="527"/>
      <c r="D26" s="527"/>
      <c r="E26" s="531" t="s">
        <v>184</v>
      </c>
      <c r="F26" s="527"/>
      <c r="G26" s="527"/>
      <c r="H26" s="532"/>
      <c r="I26" s="532"/>
      <c r="J26" s="710"/>
      <c r="K26" s="108">
        <f t="shared" si="1"/>
        <v>0</v>
      </c>
      <c r="L26" s="81">
        <f>IF('School Info'!$W$7&gt;0,L25+1,"--")</f>
        <v>20</v>
      </c>
      <c r="M26" s="23">
        <f t="shared" si="14"/>
        <v>44915</v>
      </c>
      <c r="N26" s="22" t="str">
        <f t="shared" si="2"/>
        <v>Tuesday</v>
      </c>
      <c r="O26" s="152" t="str">
        <f t="shared" si="3"/>
        <v>खुला</v>
      </c>
      <c r="P26" s="20" t="str">
        <f t="shared" si="4"/>
        <v>Tuesday</v>
      </c>
      <c r="Q26" s="165" t="str">
        <f t="shared" si="5"/>
        <v xml:space="preserve">दूध </v>
      </c>
      <c r="R26" s="20" t="str">
        <f t="shared" si="6"/>
        <v>M</v>
      </c>
      <c r="S26" s="331">
        <f>IF('School Info'!$W$7&gt;=$L26,S25,"---")</f>
        <v>53</v>
      </c>
      <c r="T26" s="331">
        <f>IF('School Info'!$W$7&gt;=$L26,T25,"---")</f>
        <v>53</v>
      </c>
      <c r="U26" s="331">
        <f>IF('School Info'!$W$7&gt;=$L26,U25,"---")</f>
        <v>53</v>
      </c>
      <c r="V26" s="331">
        <f>IF('School Info'!$W$7&gt;=$L26,V25,"---")</f>
        <v>53</v>
      </c>
      <c r="W26" s="331">
        <f>IF('School Info'!$W$7&gt;=$L26,W25,"---")</f>
        <v>53</v>
      </c>
      <c r="X26" s="359">
        <f t="shared" si="15"/>
        <v>265</v>
      </c>
      <c r="Y26" s="331">
        <f>IF('School Info'!$W$7&gt;=$L26,Y25,"---")</f>
        <v>53</v>
      </c>
      <c r="Z26" s="331">
        <f>IF('School Info'!$W$7&gt;=$L26,Z25,"---")</f>
        <v>53</v>
      </c>
      <c r="AA26" s="331">
        <f>IF('School Info'!$W$7&gt;=$L26,AA25,"---")</f>
        <v>53</v>
      </c>
      <c r="AB26" s="358">
        <f t="shared" si="16"/>
        <v>159</v>
      </c>
      <c r="AC26" s="341"/>
      <c r="AD26" s="341"/>
      <c r="AE26" s="341"/>
      <c r="AF26" s="341"/>
      <c r="AG26" s="341"/>
      <c r="AH26" s="358">
        <f t="shared" si="7"/>
        <v>0</v>
      </c>
      <c r="AI26" s="341"/>
      <c r="AJ26" s="341"/>
      <c r="AK26" s="341"/>
      <c r="AL26" s="358">
        <f t="shared" si="8"/>
        <v>0</v>
      </c>
      <c r="AM26" s="366"/>
      <c r="AN26" s="366"/>
      <c r="AO26" s="348"/>
      <c r="AP26" s="349"/>
      <c r="AQ26" s="618"/>
      <c r="AR26" s="618"/>
      <c r="AS26" s="618"/>
      <c r="AT26" s="619"/>
      <c r="AU26" s="550"/>
      <c r="AV26" s="260" t="s">
        <v>163</v>
      </c>
      <c r="AW26" s="72">
        <f t="shared" si="9"/>
        <v>0</v>
      </c>
      <c r="AX26" s="72">
        <f t="shared" si="10"/>
        <v>0</v>
      </c>
      <c r="AY26" s="72">
        <f t="shared" si="11"/>
        <v>0</v>
      </c>
      <c r="AZ26" s="72">
        <f t="shared" si="12"/>
        <v>0</v>
      </c>
      <c r="BA26" s="260"/>
      <c r="BB26" s="73">
        <f>AW26*'School Info'!$E$19</f>
        <v>0</v>
      </c>
      <c r="BC26" s="73">
        <f>(AX26*'School Info'!$C$23)/1000</f>
        <v>0</v>
      </c>
      <c r="BD26" s="73">
        <f>AY26*'School Info'!$E$20</f>
        <v>0</v>
      </c>
      <c r="BE26" s="73">
        <f>(AZ26*'School Info'!$E$23)/1000</f>
        <v>0</v>
      </c>
      <c r="BG26" s="260">
        <f>IF(OR(AH26&gt;0,AL26&gt;0),MAX($BG$21:BG25)+4,0)</f>
        <v>0</v>
      </c>
      <c r="BI26" s="652"/>
      <c r="BJ26" s="652"/>
      <c r="BK26" s="652"/>
      <c r="BL26" s="652"/>
    </row>
    <row r="27" spans="1:64" ht="23.25" customHeight="1">
      <c r="A27" s="462"/>
      <c r="B27" s="526" t="s">
        <v>184</v>
      </c>
      <c r="C27" s="527"/>
      <c r="D27" s="527"/>
      <c r="E27" s="531" t="s">
        <v>305</v>
      </c>
      <c r="F27" s="527"/>
      <c r="G27" s="527"/>
      <c r="H27" s="532"/>
      <c r="I27" s="532"/>
      <c r="J27" s="710"/>
      <c r="K27" s="108">
        <f t="shared" si="1"/>
        <v>0</v>
      </c>
      <c r="L27" s="81">
        <f>IF('School Info'!$W$7&gt;0,L26+1,"--")</f>
        <v>21</v>
      </c>
      <c r="M27" s="23">
        <f t="shared" si="14"/>
        <v>44916</v>
      </c>
      <c r="N27" s="22" t="str">
        <f t="shared" si="2"/>
        <v>Wednesday</v>
      </c>
      <c r="O27" s="152" t="str">
        <f t="shared" si="3"/>
        <v>खुला</v>
      </c>
      <c r="P27" s="20" t="str">
        <f t="shared" si="4"/>
        <v>Wednesday</v>
      </c>
      <c r="Q27" s="165" t="str">
        <f t="shared" si="5"/>
        <v>---</v>
      </c>
      <c r="R27" s="20" t="str">
        <f t="shared" si="6"/>
        <v>---</v>
      </c>
      <c r="S27" s="331">
        <f>IF('School Info'!$W$7&gt;=$L27,S26,"---")</f>
        <v>53</v>
      </c>
      <c r="T27" s="331">
        <f>IF('School Info'!$W$7&gt;=$L27,T26,"---")</f>
        <v>53</v>
      </c>
      <c r="U27" s="331">
        <f>IF('School Info'!$W$7&gt;=$L27,U26,"---")</f>
        <v>53</v>
      </c>
      <c r="V27" s="331">
        <f>IF('School Info'!$W$7&gt;=$L27,V26,"---")</f>
        <v>53</v>
      </c>
      <c r="W27" s="331">
        <f>IF('School Info'!$W$7&gt;=$L27,W26,"---")</f>
        <v>53</v>
      </c>
      <c r="X27" s="359">
        <f t="shared" si="15"/>
        <v>265</v>
      </c>
      <c r="Y27" s="331">
        <f>IF('School Info'!$W$7&gt;=$L27,Y26,"---")</f>
        <v>53</v>
      </c>
      <c r="Z27" s="331">
        <f>IF('School Info'!$W$7&gt;=$L27,Z26,"---")</f>
        <v>53</v>
      </c>
      <c r="AA27" s="331">
        <f>IF('School Info'!$W$7&gt;=$L27,AA26,"---")</f>
        <v>53</v>
      </c>
      <c r="AB27" s="358">
        <f t="shared" si="16"/>
        <v>159</v>
      </c>
      <c r="AC27" s="341"/>
      <c r="AD27" s="341"/>
      <c r="AE27" s="341"/>
      <c r="AF27" s="341"/>
      <c r="AG27" s="341"/>
      <c r="AH27" s="358">
        <f t="shared" si="7"/>
        <v>0</v>
      </c>
      <c r="AI27" s="341"/>
      <c r="AJ27" s="341"/>
      <c r="AK27" s="341"/>
      <c r="AL27" s="358">
        <f t="shared" si="8"/>
        <v>0</v>
      </c>
      <c r="AM27" s="366"/>
      <c r="AN27" s="366"/>
      <c r="AO27" s="348"/>
      <c r="AP27" s="349"/>
      <c r="AQ27" s="618"/>
      <c r="AR27" s="618"/>
      <c r="AS27" s="618"/>
      <c r="AT27" s="619"/>
      <c r="AU27" s="550"/>
      <c r="AV27" s="260" t="s">
        <v>164</v>
      </c>
      <c r="AW27" s="72">
        <f t="shared" si="9"/>
        <v>0</v>
      </c>
      <c r="AX27" s="72">
        <f t="shared" si="10"/>
        <v>0</v>
      </c>
      <c r="AY27" s="72">
        <f t="shared" si="11"/>
        <v>0</v>
      </c>
      <c r="AZ27" s="72">
        <f t="shared" si="12"/>
        <v>0</v>
      </c>
      <c r="BA27" s="260"/>
      <c r="BB27" s="73">
        <f>AW27*'School Info'!$E$19</f>
        <v>0</v>
      </c>
      <c r="BC27" s="73">
        <f>(AX27*'School Info'!$C$23)/1000</f>
        <v>0</v>
      </c>
      <c r="BD27" s="73">
        <f>AY27*'School Info'!$E$20</f>
        <v>0</v>
      </c>
      <c r="BE27" s="73">
        <f>(AZ27*'School Info'!$E$23)/1000</f>
        <v>0</v>
      </c>
      <c r="BG27" s="260">
        <f>IF(OR(AH27&gt;0,AL27&gt;0),MAX($BG$21:BG26)+4,0)</f>
        <v>0</v>
      </c>
      <c r="BI27" s="652"/>
      <c r="BJ27" s="652"/>
      <c r="BK27" s="652"/>
      <c r="BL27" s="652"/>
    </row>
    <row r="28" spans="1:64" ht="23.25" customHeight="1">
      <c r="A28" s="462"/>
      <c r="B28" s="109"/>
      <c r="C28" s="79"/>
      <c r="D28" s="79"/>
      <c r="E28" s="79"/>
      <c r="F28" s="79"/>
      <c r="G28" s="79"/>
      <c r="H28" s="79"/>
      <c r="I28" s="79"/>
      <c r="J28" s="187"/>
      <c r="K28" s="108">
        <f t="shared" si="1"/>
        <v>0</v>
      </c>
      <c r="L28" s="81">
        <f>IF('School Info'!$W$7&gt;21,L27+1,"--")</f>
        <v>22</v>
      </c>
      <c r="M28" s="23">
        <f t="shared" si="14"/>
        <v>44917</v>
      </c>
      <c r="N28" s="22" t="str">
        <f t="shared" si="2"/>
        <v>Thursday</v>
      </c>
      <c r="O28" s="152" t="str">
        <f t="shared" si="3"/>
        <v>खुला</v>
      </c>
      <c r="P28" s="20" t="str">
        <f t="shared" si="4"/>
        <v>Thursday</v>
      </c>
      <c r="Q28" s="165" t="str">
        <f t="shared" si="5"/>
        <v>---</v>
      </c>
      <c r="R28" s="20" t="str">
        <f t="shared" si="6"/>
        <v>---</v>
      </c>
      <c r="S28" s="331">
        <f>IF('School Info'!$W$7&gt;=$L28,S27,"---")</f>
        <v>53</v>
      </c>
      <c r="T28" s="331">
        <f>IF('School Info'!$W$7&gt;=$L28,T27,"---")</f>
        <v>53</v>
      </c>
      <c r="U28" s="331">
        <f>IF('School Info'!$W$7&gt;=$L28,U27,"---")</f>
        <v>53</v>
      </c>
      <c r="V28" s="331">
        <f>IF('School Info'!$W$7&gt;=$L28,V27,"---")</f>
        <v>53</v>
      </c>
      <c r="W28" s="331">
        <f>IF('School Info'!$W$7&gt;=$L28,W27,"---")</f>
        <v>53</v>
      </c>
      <c r="X28" s="359">
        <f t="shared" si="15"/>
        <v>265</v>
      </c>
      <c r="Y28" s="331">
        <f>IF('School Info'!$W$7&gt;=$L28,Y27,"---")</f>
        <v>53</v>
      </c>
      <c r="Z28" s="331">
        <f>IF('School Info'!$W$7&gt;=$L28,Z27,"---")</f>
        <v>53</v>
      </c>
      <c r="AA28" s="331">
        <f>IF('School Info'!$W$7&gt;=$L28,AA27,"---")</f>
        <v>53</v>
      </c>
      <c r="AB28" s="358">
        <f t="shared" si="16"/>
        <v>159</v>
      </c>
      <c r="AC28" s="341"/>
      <c r="AD28" s="341"/>
      <c r="AE28" s="341"/>
      <c r="AF28" s="341"/>
      <c r="AG28" s="341"/>
      <c r="AH28" s="358">
        <f t="shared" si="7"/>
        <v>0</v>
      </c>
      <c r="AI28" s="341"/>
      <c r="AJ28" s="341"/>
      <c r="AK28" s="341"/>
      <c r="AL28" s="358">
        <f t="shared" si="8"/>
        <v>0</v>
      </c>
      <c r="AM28" s="366"/>
      <c r="AN28" s="366"/>
      <c r="AO28" s="348"/>
      <c r="AP28" s="349"/>
      <c r="AQ28" s="618"/>
      <c r="AR28" s="618"/>
      <c r="AS28" s="618"/>
      <c r="AT28" s="619"/>
      <c r="AU28" s="550"/>
      <c r="AV28" s="260" t="s">
        <v>165</v>
      </c>
      <c r="AW28" s="72">
        <f t="shared" si="9"/>
        <v>0</v>
      </c>
      <c r="AX28" s="72">
        <f t="shared" si="10"/>
        <v>0</v>
      </c>
      <c r="AY28" s="72">
        <f t="shared" si="11"/>
        <v>0</v>
      </c>
      <c r="AZ28" s="72">
        <f t="shared" si="12"/>
        <v>0</v>
      </c>
      <c r="BA28" s="260"/>
      <c r="BB28" s="73">
        <f>AW28*'School Info'!$E$19</f>
        <v>0</v>
      </c>
      <c r="BC28" s="73">
        <f>(AX28*'School Info'!$C$23)/1000</f>
        <v>0</v>
      </c>
      <c r="BD28" s="73">
        <f>AY28*'School Info'!$E$20</f>
        <v>0</v>
      </c>
      <c r="BE28" s="73">
        <f>(AZ28*'School Info'!$E$23)/1000</f>
        <v>0</v>
      </c>
      <c r="BG28" s="260">
        <f>IF(OR(AH28&gt;0,AL28&gt;0),5,0)</f>
        <v>0</v>
      </c>
      <c r="BI28" s="651">
        <f>SUM(AM28:AM34)</f>
        <v>0</v>
      </c>
      <c r="BJ28" s="651">
        <f t="shared" ref="BJ28:BL28" si="26">SUM(AN28:AN34)</f>
        <v>0</v>
      </c>
      <c r="BK28" s="651">
        <f t="shared" si="26"/>
        <v>0</v>
      </c>
      <c r="BL28" s="651">
        <f t="shared" si="26"/>
        <v>0</v>
      </c>
    </row>
    <row r="29" spans="1:64" ht="23.25" customHeight="1">
      <c r="A29" s="462"/>
      <c r="B29" s="109"/>
      <c r="C29" s="79"/>
      <c r="D29" s="79"/>
      <c r="E29" s="79"/>
      <c r="F29" s="79"/>
      <c r="G29" s="79"/>
      <c r="H29" s="79"/>
      <c r="I29" s="79"/>
      <c r="J29" s="187"/>
      <c r="K29" s="108">
        <f t="shared" si="1"/>
        <v>0</v>
      </c>
      <c r="L29" s="81">
        <f>IF('School Info'!$W$7&gt;22,L28+1,"--")</f>
        <v>23</v>
      </c>
      <c r="M29" s="23">
        <f t="shared" si="14"/>
        <v>44918</v>
      </c>
      <c r="N29" s="22" t="str">
        <f t="shared" si="2"/>
        <v>Friday</v>
      </c>
      <c r="O29" s="152" t="str">
        <f t="shared" si="3"/>
        <v>खुला</v>
      </c>
      <c r="P29" s="20" t="str">
        <f t="shared" si="4"/>
        <v>Friday</v>
      </c>
      <c r="Q29" s="165" t="str">
        <f t="shared" si="5"/>
        <v xml:space="preserve">दूध </v>
      </c>
      <c r="R29" s="20" t="str">
        <f t="shared" si="6"/>
        <v>M</v>
      </c>
      <c r="S29" s="331">
        <f>IF('School Info'!$W$7&gt;=$L29,S28,"---")</f>
        <v>53</v>
      </c>
      <c r="T29" s="331">
        <f>IF('School Info'!$W$7&gt;=$L29,T28,"---")</f>
        <v>53</v>
      </c>
      <c r="U29" s="331">
        <f>IF('School Info'!$W$7&gt;=$L29,U28,"---")</f>
        <v>53</v>
      </c>
      <c r="V29" s="331">
        <f>IF('School Info'!$W$7&gt;=$L29,V28,"---")</f>
        <v>53</v>
      </c>
      <c r="W29" s="331">
        <f>IF('School Info'!$W$7&gt;=$L29,W28,"---")</f>
        <v>53</v>
      </c>
      <c r="X29" s="359">
        <f t="shared" si="15"/>
        <v>265</v>
      </c>
      <c r="Y29" s="331">
        <f>IF('School Info'!$W$7&gt;=$L29,Y28,"---")</f>
        <v>53</v>
      </c>
      <c r="Z29" s="331">
        <f>IF('School Info'!$W$7&gt;=$L29,Z28,"---")</f>
        <v>53</v>
      </c>
      <c r="AA29" s="331">
        <f>IF('School Info'!$W$7&gt;=$L29,AA28,"---")</f>
        <v>53</v>
      </c>
      <c r="AB29" s="358">
        <f t="shared" si="16"/>
        <v>159</v>
      </c>
      <c r="AC29" s="341"/>
      <c r="AD29" s="341"/>
      <c r="AE29" s="341"/>
      <c r="AF29" s="341"/>
      <c r="AG29" s="341"/>
      <c r="AH29" s="358">
        <f t="shared" si="7"/>
        <v>0</v>
      </c>
      <c r="AI29" s="341"/>
      <c r="AJ29" s="341"/>
      <c r="AK29" s="341"/>
      <c r="AL29" s="358">
        <f t="shared" si="8"/>
        <v>0</v>
      </c>
      <c r="AM29" s="366"/>
      <c r="AN29" s="366"/>
      <c r="AO29" s="348"/>
      <c r="AP29" s="349"/>
      <c r="AQ29" s="618"/>
      <c r="AR29" s="618"/>
      <c r="AS29" s="618"/>
      <c r="AT29" s="619"/>
      <c r="AU29" s="550"/>
      <c r="AV29" s="260" t="s">
        <v>166</v>
      </c>
      <c r="AW29" s="72">
        <f t="shared" si="9"/>
        <v>0</v>
      </c>
      <c r="AX29" s="72">
        <f t="shared" si="10"/>
        <v>0</v>
      </c>
      <c r="AY29" s="72">
        <f t="shared" si="11"/>
        <v>0</v>
      </c>
      <c r="AZ29" s="72">
        <f t="shared" si="12"/>
        <v>0</v>
      </c>
      <c r="BA29" s="260"/>
      <c r="BB29" s="73">
        <f>AW29*'School Info'!$E$19</f>
        <v>0</v>
      </c>
      <c r="BC29" s="73">
        <f>(AX29*'School Info'!$C$23)/1000</f>
        <v>0</v>
      </c>
      <c r="BD29" s="73">
        <f>AY29*'School Info'!$E$20</f>
        <v>0</v>
      </c>
      <c r="BE29" s="73">
        <f>(AZ29*'School Info'!$E$23)/1000</f>
        <v>0</v>
      </c>
      <c r="BG29" s="260">
        <f>IF(OR(AH29&gt;0,AL29&gt;0),MAX(BG28)+5,0)</f>
        <v>0</v>
      </c>
      <c r="BI29" s="652"/>
      <c r="BJ29" s="652"/>
      <c r="BK29" s="652"/>
      <c r="BL29" s="652"/>
    </row>
    <row r="30" spans="1:64" ht="23.25" customHeight="1">
      <c r="A30" s="462"/>
      <c r="B30" s="109"/>
      <c r="C30" s="79"/>
      <c r="D30" s="79"/>
      <c r="E30" s="79"/>
      <c r="F30" s="79"/>
      <c r="G30" s="79"/>
      <c r="H30" s="79"/>
      <c r="I30" s="79"/>
      <c r="J30" s="187"/>
      <c r="K30" s="108">
        <f t="shared" si="1"/>
        <v>0</v>
      </c>
      <c r="L30" s="81">
        <f>IF('School Info'!$W$7&gt;23,L29+1,"--")</f>
        <v>24</v>
      </c>
      <c r="M30" s="23">
        <f>M29+1</f>
        <v>44919</v>
      </c>
      <c r="N30" s="22" t="str">
        <f t="shared" si="2"/>
        <v>Saturday</v>
      </c>
      <c r="O30" s="152" t="str">
        <f t="shared" si="3"/>
        <v>खुला</v>
      </c>
      <c r="P30" s="20" t="str">
        <f t="shared" si="4"/>
        <v>Saturday</v>
      </c>
      <c r="Q30" s="165" t="str">
        <f t="shared" si="5"/>
        <v>---</v>
      </c>
      <c r="R30" s="20" t="str">
        <f t="shared" si="6"/>
        <v>---</v>
      </c>
      <c r="S30" s="331">
        <f>IF('School Info'!$W$7&gt;=$L30,S29,"---")</f>
        <v>53</v>
      </c>
      <c r="T30" s="331">
        <f>IF('School Info'!$W$7&gt;=$L30,T29,"---")</f>
        <v>53</v>
      </c>
      <c r="U30" s="331">
        <f>IF('School Info'!$W$7&gt;=$L30,U29,"---")</f>
        <v>53</v>
      </c>
      <c r="V30" s="331">
        <f>IF('School Info'!$W$7&gt;=$L30,V29,"---")</f>
        <v>53</v>
      </c>
      <c r="W30" s="331">
        <f>IF('School Info'!$W$7&gt;=$L30,W29,"---")</f>
        <v>53</v>
      </c>
      <c r="X30" s="359">
        <f t="shared" si="15"/>
        <v>265</v>
      </c>
      <c r="Y30" s="331">
        <f>IF('School Info'!$W$7&gt;=$L30,Y29,"---")</f>
        <v>53</v>
      </c>
      <c r="Z30" s="331">
        <f>IF('School Info'!$W$7&gt;=$L30,Z29,"---")</f>
        <v>53</v>
      </c>
      <c r="AA30" s="331">
        <f>IF('School Info'!$W$7&gt;=$L30,AA29,"---")</f>
        <v>53</v>
      </c>
      <c r="AB30" s="358">
        <f t="shared" si="16"/>
        <v>159</v>
      </c>
      <c r="AC30" s="341"/>
      <c r="AD30" s="341"/>
      <c r="AE30" s="341"/>
      <c r="AF30" s="341"/>
      <c r="AG30" s="341"/>
      <c r="AH30" s="358">
        <f t="shared" si="7"/>
        <v>0</v>
      </c>
      <c r="AI30" s="341"/>
      <c r="AJ30" s="341"/>
      <c r="AK30" s="341"/>
      <c r="AL30" s="358">
        <f t="shared" si="8"/>
        <v>0</v>
      </c>
      <c r="AM30" s="366"/>
      <c r="AN30" s="366"/>
      <c r="AO30" s="348"/>
      <c r="AP30" s="349"/>
      <c r="AQ30" s="618"/>
      <c r="AR30" s="618"/>
      <c r="AS30" s="618"/>
      <c r="AT30" s="619"/>
      <c r="AU30" s="550"/>
      <c r="AV30" s="260" t="s">
        <v>167</v>
      </c>
      <c r="AW30" s="72">
        <f t="shared" si="9"/>
        <v>0</v>
      </c>
      <c r="AX30" s="72">
        <f t="shared" si="10"/>
        <v>0</v>
      </c>
      <c r="AY30" s="72">
        <f t="shared" si="11"/>
        <v>0</v>
      </c>
      <c r="AZ30" s="72">
        <f t="shared" si="12"/>
        <v>0</v>
      </c>
      <c r="BA30" s="260"/>
      <c r="BB30" s="73">
        <f>AW30*'School Info'!$E$19</f>
        <v>0</v>
      </c>
      <c r="BC30" s="73">
        <f>(AX30*'School Info'!$C$23)/1000</f>
        <v>0</v>
      </c>
      <c r="BD30" s="73">
        <f>AY30*'School Info'!$E$20</f>
        <v>0</v>
      </c>
      <c r="BE30" s="73">
        <f>(AZ30*'School Info'!$E$23)/1000</f>
        <v>0</v>
      </c>
      <c r="BG30" s="260">
        <f>IF(OR(AH30&gt;0,AL30&gt;0),MAX($BG$28:BG29)+5,0)</f>
        <v>0</v>
      </c>
      <c r="BI30" s="652"/>
      <c r="BJ30" s="652"/>
      <c r="BK30" s="652"/>
      <c r="BL30" s="652"/>
    </row>
    <row r="31" spans="1:64" ht="23.25" customHeight="1">
      <c r="A31" s="462"/>
      <c r="B31" s="109"/>
      <c r="C31" s="79"/>
      <c r="D31" s="79"/>
      <c r="E31" s="79"/>
      <c r="F31" s="79"/>
      <c r="G31" s="79"/>
      <c r="H31" s="79"/>
      <c r="I31" s="79"/>
      <c r="J31" s="187"/>
      <c r="K31" s="108">
        <f t="shared" si="1"/>
        <v>0</v>
      </c>
      <c r="L31" s="81">
        <f>IF('School Info'!$W$7&gt;24,L30+1,"--")</f>
        <v>25</v>
      </c>
      <c r="M31" s="23">
        <f t="shared" si="14"/>
        <v>44920</v>
      </c>
      <c r="N31" s="22" t="str">
        <f t="shared" si="2"/>
        <v>Sunday</v>
      </c>
      <c r="O31" s="152" t="str">
        <f t="shared" si="3"/>
        <v>रवि॰अव॰</v>
      </c>
      <c r="P31" s="20" t="str">
        <f t="shared" si="4"/>
        <v>Holiday</v>
      </c>
      <c r="Q31" s="165">
        <f t="shared" si="5"/>
        <v>0</v>
      </c>
      <c r="R31" s="20" t="str">
        <f t="shared" si="6"/>
        <v>---</v>
      </c>
      <c r="S31" s="331">
        <f>IF('School Info'!$W$7&gt;=$L31,S30,"---")</f>
        <v>53</v>
      </c>
      <c r="T31" s="331">
        <f>IF('School Info'!$W$7&gt;=$L31,T30,"---")</f>
        <v>53</v>
      </c>
      <c r="U31" s="331">
        <f>IF('School Info'!$W$7&gt;=$L31,U30,"---")</f>
        <v>53</v>
      </c>
      <c r="V31" s="331">
        <f>IF('School Info'!$W$7&gt;=$L31,V30,"---")</f>
        <v>53</v>
      </c>
      <c r="W31" s="331">
        <f>IF('School Info'!$W$7&gt;=$L31,W30,"---")</f>
        <v>53</v>
      </c>
      <c r="X31" s="359">
        <f t="shared" si="15"/>
        <v>265</v>
      </c>
      <c r="Y31" s="331">
        <f>IF('School Info'!$W$7&gt;=$L31,Y30,"---")</f>
        <v>53</v>
      </c>
      <c r="Z31" s="331">
        <f>IF('School Info'!$W$7&gt;=$L31,Z30,"---")</f>
        <v>53</v>
      </c>
      <c r="AA31" s="331">
        <f>IF('School Info'!$W$7&gt;=$L31,AA30,"---")</f>
        <v>53</v>
      </c>
      <c r="AB31" s="358">
        <f t="shared" si="16"/>
        <v>159</v>
      </c>
      <c r="AC31" s="341"/>
      <c r="AD31" s="341"/>
      <c r="AE31" s="341"/>
      <c r="AF31" s="341"/>
      <c r="AG31" s="341"/>
      <c r="AH31" s="358">
        <f t="shared" si="7"/>
        <v>0</v>
      </c>
      <c r="AI31" s="341"/>
      <c r="AJ31" s="341"/>
      <c r="AK31" s="341"/>
      <c r="AL31" s="358">
        <f t="shared" si="8"/>
        <v>0</v>
      </c>
      <c r="AM31" s="366"/>
      <c r="AN31" s="366"/>
      <c r="AO31" s="348"/>
      <c r="AP31" s="349"/>
      <c r="AQ31" s="618"/>
      <c r="AR31" s="618"/>
      <c r="AS31" s="618"/>
      <c r="AT31" s="619"/>
      <c r="AU31" s="550"/>
      <c r="AV31" s="260" t="s">
        <v>168</v>
      </c>
      <c r="AW31" s="72">
        <f t="shared" si="9"/>
        <v>0</v>
      </c>
      <c r="AX31" s="72">
        <f t="shared" si="10"/>
        <v>0</v>
      </c>
      <c r="AY31" s="72">
        <f t="shared" si="11"/>
        <v>0</v>
      </c>
      <c r="AZ31" s="72">
        <f t="shared" si="12"/>
        <v>0</v>
      </c>
      <c r="BA31" s="260"/>
      <c r="BB31" s="73">
        <f>AW31*'School Info'!$E$19</f>
        <v>0</v>
      </c>
      <c r="BC31" s="73">
        <f>(AX31*'School Info'!$C$23)/1000</f>
        <v>0</v>
      </c>
      <c r="BD31" s="73">
        <f>AY31*'School Info'!$E$20</f>
        <v>0</v>
      </c>
      <c r="BE31" s="73">
        <f>(AZ31*'School Info'!$E$23)/1000</f>
        <v>0</v>
      </c>
      <c r="BG31" s="260">
        <f>IF(OR(AH31&gt;0,AL31&gt;0),MAX($BG$28:BG30)+5,0)</f>
        <v>0</v>
      </c>
      <c r="BI31" s="652"/>
      <c r="BJ31" s="652"/>
      <c r="BK31" s="652"/>
      <c r="BL31" s="652"/>
    </row>
    <row r="32" spans="1:64" ht="23.25" customHeight="1">
      <c r="A32" s="462"/>
      <c r="B32" s="109"/>
      <c r="C32" s="79"/>
      <c r="D32" s="79"/>
      <c r="E32" s="79"/>
      <c r="F32" s="79"/>
      <c r="G32" s="79"/>
      <c r="H32" s="79"/>
      <c r="I32" s="79"/>
      <c r="J32" s="187"/>
      <c r="K32" s="108">
        <f t="shared" si="1"/>
        <v>0</v>
      </c>
      <c r="L32" s="81">
        <f>IF('School Info'!$W$7&gt;25,L31+1,"--")</f>
        <v>26</v>
      </c>
      <c r="M32" s="23">
        <f t="shared" si="14"/>
        <v>44921</v>
      </c>
      <c r="N32" s="22" t="str">
        <f t="shared" si="2"/>
        <v>Monday</v>
      </c>
      <c r="O32" s="152" t="str">
        <f t="shared" si="3"/>
        <v>खुला</v>
      </c>
      <c r="P32" s="20" t="str">
        <f t="shared" si="4"/>
        <v>Monday</v>
      </c>
      <c r="Q32" s="165" t="str">
        <f t="shared" si="5"/>
        <v>---</v>
      </c>
      <c r="R32" s="20" t="str">
        <f t="shared" si="6"/>
        <v>---</v>
      </c>
      <c r="S32" s="331">
        <f>IF('School Info'!$W$7&gt;=$L32,S31,"---")</f>
        <v>53</v>
      </c>
      <c r="T32" s="331">
        <f>IF('School Info'!$W$7&gt;=$L32,T31,"---")</f>
        <v>53</v>
      </c>
      <c r="U32" s="331">
        <f>IF('School Info'!$W$7&gt;=$L32,U31,"---")</f>
        <v>53</v>
      </c>
      <c r="V32" s="331">
        <f>IF('School Info'!$W$7&gt;=$L32,V31,"---")</f>
        <v>53</v>
      </c>
      <c r="W32" s="331">
        <f>IF('School Info'!$W$7&gt;=$L32,W31,"---")</f>
        <v>53</v>
      </c>
      <c r="X32" s="359">
        <f t="shared" si="15"/>
        <v>265</v>
      </c>
      <c r="Y32" s="331">
        <f>IF('School Info'!$W$7&gt;=$L32,Y31,"---")</f>
        <v>53</v>
      </c>
      <c r="Z32" s="331">
        <f>IF('School Info'!$W$7&gt;=$L32,Z31,"---")</f>
        <v>53</v>
      </c>
      <c r="AA32" s="331">
        <f>IF('School Info'!$W$7&gt;=$L32,AA31,"---")</f>
        <v>53</v>
      </c>
      <c r="AB32" s="358">
        <f t="shared" si="16"/>
        <v>159</v>
      </c>
      <c r="AC32" s="341"/>
      <c r="AD32" s="341"/>
      <c r="AE32" s="341"/>
      <c r="AF32" s="341"/>
      <c r="AG32" s="341"/>
      <c r="AH32" s="358">
        <f t="shared" si="7"/>
        <v>0</v>
      </c>
      <c r="AI32" s="341"/>
      <c r="AJ32" s="341"/>
      <c r="AK32" s="341"/>
      <c r="AL32" s="358">
        <f t="shared" si="8"/>
        <v>0</v>
      </c>
      <c r="AM32" s="366"/>
      <c r="AN32" s="366"/>
      <c r="AO32" s="348"/>
      <c r="AP32" s="349"/>
      <c r="AQ32" s="618"/>
      <c r="AR32" s="618"/>
      <c r="AS32" s="618"/>
      <c r="AT32" s="619"/>
      <c r="AU32" s="550"/>
      <c r="AV32" s="260" t="s">
        <v>169</v>
      </c>
      <c r="AW32" s="72">
        <f t="shared" si="9"/>
        <v>0</v>
      </c>
      <c r="AX32" s="72">
        <f t="shared" si="10"/>
        <v>0</v>
      </c>
      <c r="AY32" s="72">
        <f t="shared" si="11"/>
        <v>0</v>
      </c>
      <c r="AZ32" s="72">
        <f t="shared" si="12"/>
        <v>0</v>
      </c>
      <c r="BA32" s="260"/>
      <c r="BB32" s="73">
        <f>AW32*'School Info'!$E$19</f>
        <v>0</v>
      </c>
      <c r="BC32" s="73">
        <f>(AX32*'School Info'!$C$23)/1000</f>
        <v>0</v>
      </c>
      <c r="BD32" s="73">
        <f>AY32*'School Info'!$E$20</f>
        <v>0</v>
      </c>
      <c r="BE32" s="73">
        <f>(AZ32*'School Info'!$E$23)/1000</f>
        <v>0</v>
      </c>
      <c r="BG32" s="260">
        <f>IF(OR(AH32&gt;0,AL32&gt;0),MAX($BG$28:BG31)+5,0)</f>
        <v>0</v>
      </c>
      <c r="BI32" s="652"/>
      <c r="BJ32" s="652"/>
      <c r="BK32" s="652"/>
      <c r="BL32" s="652"/>
    </row>
    <row r="33" spans="1:64" ht="23.25" customHeight="1">
      <c r="A33" s="462"/>
      <c r="B33" s="109"/>
      <c r="C33" s="79"/>
      <c r="D33" s="79"/>
      <c r="E33" s="79"/>
      <c r="F33" s="79"/>
      <c r="G33" s="79"/>
      <c r="H33" s="79"/>
      <c r="I33" s="79"/>
      <c r="J33" s="187"/>
      <c r="K33" s="108">
        <f t="shared" si="1"/>
        <v>0</v>
      </c>
      <c r="L33" s="81">
        <f>IF('School Info'!$W$7&gt;26,L32+1,"--")</f>
        <v>27</v>
      </c>
      <c r="M33" s="23">
        <f t="shared" si="14"/>
        <v>44922</v>
      </c>
      <c r="N33" s="22" t="str">
        <f t="shared" si="2"/>
        <v>Tuesday</v>
      </c>
      <c r="O33" s="152" t="str">
        <f t="shared" si="3"/>
        <v>खुला</v>
      </c>
      <c r="P33" s="20" t="str">
        <f t="shared" si="4"/>
        <v>Tuesday</v>
      </c>
      <c r="Q33" s="165" t="str">
        <f t="shared" si="5"/>
        <v xml:space="preserve">दूध </v>
      </c>
      <c r="R33" s="20" t="str">
        <f t="shared" si="6"/>
        <v>M</v>
      </c>
      <c r="S33" s="331">
        <f>IF('School Info'!$W$7&gt;=$L33,S32,"---")</f>
        <v>53</v>
      </c>
      <c r="T33" s="331">
        <f>IF('School Info'!$W$7&gt;=$L33,T32,"---")</f>
        <v>53</v>
      </c>
      <c r="U33" s="331">
        <f>IF('School Info'!$W$7&gt;=$L33,U32,"---")</f>
        <v>53</v>
      </c>
      <c r="V33" s="331">
        <f>IF('School Info'!$W$7&gt;=$L33,V32,"---")</f>
        <v>53</v>
      </c>
      <c r="W33" s="331">
        <f>IF('School Info'!$W$7&gt;=$L33,W32,"---")</f>
        <v>53</v>
      </c>
      <c r="X33" s="359">
        <f t="shared" si="15"/>
        <v>265</v>
      </c>
      <c r="Y33" s="331">
        <f>IF('School Info'!$W$7&gt;=$L33,Y32,"---")</f>
        <v>53</v>
      </c>
      <c r="Z33" s="331">
        <f>IF('School Info'!$W$7&gt;=$L33,Z32,"---")</f>
        <v>53</v>
      </c>
      <c r="AA33" s="331">
        <f>IF('School Info'!$W$7&gt;=$L33,AA32,"---")</f>
        <v>53</v>
      </c>
      <c r="AB33" s="358">
        <f t="shared" si="16"/>
        <v>159</v>
      </c>
      <c r="AC33" s="341"/>
      <c r="AD33" s="341"/>
      <c r="AE33" s="341"/>
      <c r="AF33" s="341"/>
      <c r="AG33" s="341"/>
      <c r="AH33" s="358">
        <f t="shared" si="7"/>
        <v>0</v>
      </c>
      <c r="AI33" s="341"/>
      <c r="AJ33" s="341"/>
      <c r="AK33" s="341"/>
      <c r="AL33" s="358">
        <f t="shared" si="8"/>
        <v>0</v>
      </c>
      <c r="AM33" s="366"/>
      <c r="AN33" s="366"/>
      <c r="AO33" s="348"/>
      <c r="AP33" s="349"/>
      <c r="AQ33" s="618"/>
      <c r="AR33" s="618"/>
      <c r="AS33" s="618"/>
      <c r="AT33" s="619"/>
      <c r="AU33" s="550"/>
      <c r="AV33" s="260" t="s">
        <v>171</v>
      </c>
      <c r="AW33" s="72">
        <f t="shared" si="9"/>
        <v>0</v>
      </c>
      <c r="AX33" s="72">
        <f t="shared" si="10"/>
        <v>0</v>
      </c>
      <c r="AY33" s="72">
        <f t="shared" si="11"/>
        <v>0</v>
      </c>
      <c r="AZ33" s="72">
        <f t="shared" si="12"/>
        <v>0</v>
      </c>
      <c r="BA33" s="260"/>
      <c r="BB33" s="73">
        <f>AW33*'School Info'!$E$19</f>
        <v>0</v>
      </c>
      <c r="BC33" s="73">
        <f>(AX33*'School Info'!$C$23)/1000</f>
        <v>0</v>
      </c>
      <c r="BD33" s="73">
        <f>AY33*'School Info'!$E$20</f>
        <v>0</v>
      </c>
      <c r="BE33" s="73">
        <f>(AZ33*'School Info'!$E$23)/1000</f>
        <v>0</v>
      </c>
      <c r="BG33" s="260">
        <f>IF(OR(AH33&gt;0,AL33&gt;0),MAX($BG$28:BG32)+5,0)</f>
        <v>0</v>
      </c>
      <c r="BI33" s="652"/>
      <c r="BJ33" s="652"/>
      <c r="BK33" s="652"/>
      <c r="BL33" s="652"/>
    </row>
    <row r="34" spans="1:64" ht="23.25" customHeight="1">
      <c r="A34" s="462"/>
      <c r="B34" s="109"/>
      <c r="C34" s="79"/>
      <c r="D34" s="79"/>
      <c r="E34" s="79"/>
      <c r="F34" s="79"/>
      <c r="G34" s="79"/>
      <c r="H34" s="79"/>
      <c r="I34" s="79"/>
      <c r="J34" s="187"/>
      <c r="K34" s="108">
        <f t="shared" si="1"/>
        <v>0</v>
      </c>
      <c r="L34" s="81">
        <f>IF('School Info'!$W$7&gt;27,L33+1,"--")</f>
        <v>28</v>
      </c>
      <c r="M34" s="23">
        <f>M33+1</f>
        <v>44923</v>
      </c>
      <c r="N34" s="22" t="str">
        <f t="shared" si="2"/>
        <v>Wednesday</v>
      </c>
      <c r="O34" s="152" t="str">
        <f t="shared" si="3"/>
        <v>खुला</v>
      </c>
      <c r="P34" s="20" t="str">
        <f t="shared" si="4"/>
        <v>Wednesday</v>
      </c>
      <c r="Q34" s="165" t="str">
        <f t="shared" si="5"/>
        <v>---</v>
      </c>
      <c r="R34" s="20" t="str">
        <f t="shared" si="6"/>
        <v>---</v>
      </c>
      <c r="S34" s="331">
        <f>IF('School Info'!$W$7&gt;=$L34,S33,"---")</f>
        <v>53</v>
      </c>
      <c r="T34" s="331">
        <f>IF('School Info'!$W$7&gt;=$L34,T33,"---")</f>
        <v>53</v>
      </c>
      <c r="U34" s="331">
        <f>IF('School Info'!$W$7&gt;=$L34,U33,"---")</f>
        <v>53</v>
      </c>
      <c r="V34" s="331">
        <f>IF('School Info'!$W$7&gt;=$L34,V33,"---")</f>
        <v>53</v>
      </c>
      <c r="W34" s="331">
        <f>IF('School Info'!$W$7&gt;=$L34,W33,"---")</f>
        <v>53</v>
      </c>
      <c r="X34" s="359">
        <f t="shared" si="15"/>
        <v>265</v>
      </c>
      <c r="Y34" s="331">
        <f>IF('School Info'!$W$7&gt;=$L34,Y33,"---")</f>
        <v>53</v>
      </c>
      <c r="Z34" s="331">
        <f>IF('School Info'!$W$7&gt;=$L34,Z33,"---")</f>
        <v>53</v>
      </c>
      <c r="AA34" s="331">
        <f>IF('School Info'!$W$7&gt;=$L34,AA33,"---")</f>
        <v>53</v>
      </c>
      <c r="AB34" s="358">
        <f t="shared" si="16"/>
        <v>159</v>
      </c>
      <c r="AC34" s="341"/>
      <c r="AD34" s="341"/>
      <c r="AE34" s="341"/>
      <c r="AF34" s="341"/>
      <c r="AG34" s="341"/>
      <c r="AH34" s="358">
        <f t="shared" si="7"/>
        <v>0</v>
      </c>
      <c r="AI34" s="341"/>
      <c r="AJ34" s="341"/>
      <c r="AK34" s="341"/>
      <c r="AL34" s="358">
        <f t="shared" si="8"/>
        <v>0</v>
      </c>
      <c r="AM34" s="366"/>
      <c r="AN34" s="366"/>
      <c r="AO34" s="348"/>
      <c r="AP34" s="349"/>
      <c r="AQ34" s="618"/>
      <c r="AR34" s="618"/>
      <c r="AS34" s="618"/>
      <c r="AT34" s="619"/>
      <c r="AU34" s="550"/>
      <c r="AV34" s="260" t="s">
        <v>172</v>
      </c>
      <c r="AW34" s="72">
        <f t="shared" si="9"/>
        <v>0</v>
      </c>
      <c r="AX34" s="72">
        <f t="shared" si="10"/>
        <v>0</v>
      </c>
      <c r="AY34" s="72">
        <f t="shared" si="11"/>
        <v>0</v>
      </c>
      <c r="AZ34" s="72">
        <f t="shared" si="12"/>
        <v>0</v>
      </c>
      <c r="BA34" s="260"/>
      <c r="BB34" s="73">
        <f>AW34*'School Info'!$E$19</f>
        <v>0</v>
      </c>
      <c r="BC34" s="73">
        <f>(AX34*'School Info'!$C$23)/1000</f>
        <v>0</v>
      </c>
      <c r="BD34" s="73">
        <f>AY34*'School Info'!$E$20</f>
        <v>0</v>
      </c>
      <c r="BE34" s="73">
        <f>(AZ34*'School Info'!$E$23)/1000</f>
        <v>0</v>
      </c>
      <c r="BG34" s="260">
        <f>IF(OR(AH34&gt;0,AL34&gt;0),MAX($BG$28:BG33)+5,0)</f>
        <v>0</v>
      </c>
      <c r="BI34" s="652"/>
      <c r="BJ34" s="652"/>
      <c r="BK34" s="652"/>
      <c r="BL34" s="652"/>
    </row>
    <row r="35" spans="1:64" ht="23.25" customHeight="1">
      <c r="A35" s="462"/>
      <c r="B35" s="109"/>
      <c r="C35" s="79"/>
      <c r="D35" s="79"/>
      <c r="E35" s="79"/>
      <c r="F35" s="79"/>
      <c r="G35" s="79"/>
      <c r="H35" s="79"/>
      <c r="I35" s="79"/>
      <c r="J35" s="187"/>
      <c r="K35" s="108">
        <f t="shared" si="1"/>
        <v>0</v>
      </c>
      <c r="L35" s="81">
        <f>IF('School Info'!$W$7&gt;28,L34+1,"--")</f>
        <v>29</v>
      </c>
      <c r="M35" s="23">
        <f>IF('School Info'!W7&gt;28,'MIlk-Data Entry'!M34+1,"---")</f>
        <v>44924</v>
      </c>
      <c r="N35" s="22" t="str">
        <f t="shared" si="2"/>
        <v>Thursday</v>
      </c>
      <c r="O35" s="152" t="str">
        <f t="shared" si="3"/>
        <v>खुला</v>
      </c>
      <c r="P35" s="20" t="str">
        <f t="shared" si="4"/>
        <v>Thursday</v>
      </c>
      <c r="Q35" s="165" t="str">
        <f t="shared" si="5"/>
        <v>---</v>
      </c>
      <c r="R35" s="20" t="str">
        <f t="shared" si="6"/>
        <v>---</v>
      </c>
      <c r="S35" s="331">
        <f>IF('School Info'!$W$7&gt;=$L35,S34,"---")</f>
        <v>53</v>
      </c>
      <c r="T35" s="331">
        <f>IF('School Info'!$W$7&gt;=$L35,T34,"---")</f>
        <v>53</v>
      </c>
      <c r="U35" s="331">
        <f>IF('School Info'!$W$7&gt;=$L35,U34,"---")</f>
        <v>53</v>
      </c>
      <c r="V35" s="331">
        <f>IF('School Info'!$W$7&gt;=$L35,V34,"---")</f>
        <v>53</v>
      </c>
      <c r="W35" s="331">
        <f>IF('School Info'!$W$7&gt;=$L35,W34,"---")</f>
        <v>53</v>
      </c>
      <c r="X35" s="359">
        <f t="shared" si="15"/>
        <v>265</v>
      </c>
      <c r="Y35" s="331">
        <f>IF('School Info'!$W$7&gt;=$L35,Y34,"---")</f>
        <v>53</v>
      </c>
      <c r="Z35" s="331">
        <f>IF('School Info'!$W$7&gt;=$L35,Z34,"---")</f>
        <v>53</v>
      </c>
      <c r="AA35" s="331">
        <f>IF('School Info'!$W$7&gt;=$L35,AA34,"---")</f>
        <v>53</v>
      </c>
      <c r="AB35" s="358">
        <f t="shared" si="16"/>
        <v>159</v>
      </c>
      <c r="AC35" s="341"/>
      <c r="AD35" s="341"/>
      <c r="AE35" s="341"/>
      <c r="AF35" s="341"/>
      <c r="AG35" s="341"/>
      <c r="AH35" s="358">
        <f t="shared" si="7"/>
        <v>0</v>
      </c>
      <c r="AI35" s="341"/>
      <c r="AJ35" s="341"/>
      <c r="AK35" s="341"/>
      <c r="AL35" s="358">
        <f t="shared" si="8"/>
        <v>0</v>
      </c>
      <c r="AM35" s="366"/>
      <c r="AN35" s="366"/>
      <c r="AO35" s="348"/>
      <c r="AP35" s="349"/>
      <c r="AQ35" s="618"/>
      <c r="AR35" s="618"/>
      <c r="AS35" s="618"/>
      <c r="AT35" s="619"/>
      <c r="AU35" s="550"/>
      <c r="AV35" s="260" t="s">
        <v>176</v>
      </c>
      <c r="AW35" s="72">
        <f t="shared" si="9"/>
        <v>0</v>
      </c>
      <c r="AX35" s="72">
        <f t="shared" si="10"/>
        <v>0</v>
      </c>
      <c r="AY35" s="72">
        <f t="shared" si="11"/>
        <v>0</v>
      </c>
      <c r="AZ35" s="72">
        <f t="shared" si="12"/>
        <v>0</v>
      </c>
      <c r="BA35" s="260"/>
      <c r="BB35" s="73">
        <f>AW35*'School Info'!$E$19</f>
        <v>0</v>
      </c>
      <c r="BC35" s="73">
        <f>(AX35*'School Info'!$C$23)/1000</f>
        <v>0</v>
      </c>
      <c r="BD35" s="73">
        <f>AY35*'School Info'!$E$20</f>
        <v>0</v>
      </c>
      <c r="BE35" s="73">
        <f>(AZ35*'School Info'!$E$23)/1000</f>
        <v>0</v>
      </c>
      <c r="BG35" s="260">
        <f>IF(OR(AH35&gt;0,AL35&gt;0),7,0)</f>
        <v>0</v>
      </c>
      <c r="BI35" s="650">
        <f>SUM(AM35:AM37)</f>
        <v>0</v>
      </c>
      <c r="BJ35" s="650">
        <f t="shared" ref="BJ35:BL35" si="27">SUM(AN35:AN37)</f>
        <v>0</v>
      </c>
      <c r="BK35" s="650">
        <f t="shared" si="27"/>
        <v>0</v>
      </c>
      <c r="BL35" s="650">
        <f t="shared" si="27"/>
        <v>0</v>
      </c>
    </row>
    <row r="36" spans="1:64" ht="23.25" customHeight="1">
      <c r="A36" s="462"/>
      <c r="B36" s="109"/>
      <c r="C36" s="79"/>
      <c r="D36" s="79"/>
      <c r="E36" s="79"/>
      <c r="F36" s="79"/>
      <c r="G36" s="79"/>
      <c r="H36" s="79"/>
      <c r="I36" s="79"/>
      <c r="J36" s="187"/>
      <c r="K36" s="108">
        <f t="shared" si="1"/>
        <v>0</v>
      </c>
      <c r="L36" s="81">
        <f>IF('School Info'!$W$7&gt;29,L35+1,"--")</f>
        <v>30</v>
      </c>
      <c r="M36" s="23">
        <f>IF('School Info'!W7&gt;29,'MIlk-Data Entry'!M35+1,"---")</f>
        <v>44925</v>
      </c>
      <c r="N36" s="22" t="str">
        <f t="shared" si="2"/>
        <v>Friday</v>
      </c>
      <c r="O36" s="152" t="str">
        <f t="shared" si="3"/>
        <v>खुला</v>
      </c>
      <c r="P36" s="20" t="str">
        <f t="shared" si="4"/>
        <v>Friday</v>
      </c>
      <c r="Q36" s="165" t="str">
        <f t="shared" si="5"/>
        <v xml:space="preserve">दूध </v>
      </c>
      <c r="R36" s="20" t="str">
        <f t="shared" si="6"/>
        <v>M</v>
      </c>
      <c r="S36" s="331">
        <f>IF('School Info'!$W$7&gt;=$L36,S35,"---")</f>
        <v>53</v>
      </c>
      <c r="T36" s="331">
        <f>IF('School Info'!$W$7&gt;=$L36,T35,"---")</f>
        <v>53</v>
      </c>
      <c r="U36" s="331">
        <f>IF('School Info'!$W$7&gt;=$L36,U35,"---")</f>
        <v>53</v>
      </c>
      <c r="V36" s="331">
        <f>IF('School Info'!$W$7&gt;=$L36,V35,"---")</f>
        <v>53</v>
      </c>
      <c r="W36" s="331">
        <f>IF('School Info'!$W$7&gt;=$L36,W35,"---")</f>
        <v>53</v>
      </c>
      <c r="X36" s="359">
        <f t="shared" si="15"/>
        <v>265</v>
      </c>
      <c r="Y36" s="331">
        <f>IF('School Info'!$W$7&gt;=$L36,Y35,"---")</f>
        <v>53</v>
      </c>
      <c r="Z36" s="331">
        <f>IF('School Info'!$W$7&gt;=$L36,Z35,"---")</f>
        <v>53</v>
      </c>
      <c r="AA36" s="331">
        <f>IF('School Info'!$W$7&gt;=$L36,AA35,"---")</f>
        <v>53</v>
      </c>
      <c r="AB36" s="358">
        <f t="shared" si="16"/>
        <v>159</v>
      </c>
      <c r="AC36" s="341"/>
      <c r="AD36" s="341"/>
      <c r="AE36" s="341"/>
      <c r="AF36" s="341"/>
      <c r="AG36" s="341"/>
      <c r="AH36" s="358">
        <f t="shared" si="7"/>
        <v>0</v>
      </c>
      <c r="AI36" s="341"/>
      <c r="AJ36" s="341"/>
      <c r="AK36" s="341"/>
      <c r="AL36" s="358">
        <f t="shared" si="8"/>
        <v>0</v>
      </c>
      <c r="AM36" s="366"/>
      <c r="AN36" s="366"/>
      <c r="AO36" s="348"/>
      <c r="AP36" s="349"/>
      <c r="AQ36" s="618"/>
      <c r="AR36" s="618"/>
      <c r="AS36" s="618"/>
      <c r="AT36" s="619"/>
      <c r="AU36" s="550"/>
      <c r="AV36" s="260"/>
      <c r="AW36" s="72">
        <f t="shared" si="9"/>
        <v>0</v>
      </c>
      <c r="AX36" s="72">
        <f t="shared" si="10"/>
        <v>0</v>
      </c>
      <c r="AY36" s="72">
        <f t="shared" si="11"/>
        <v>0</v>
      </c>
      <c r="AZ36" s="72">
        <f t="shared" si="12"/>
        <v>0</v>
      </c>
      <c r="BA36" s="260"/>
      <c r="BB36" s="73">
        <f>AW36*'School Info'!$E$19</f>
        <v>0</v>
      </c>
      <c r="BC36" s="73">
        <f>(AX36*'School Info'!$C$23)/1000</f>
        <v>0</v>
      </c>
      <c r="BD36" s="73">
        <f>AY36*'School Info'!$E$20</f>
        <v>0</v>
      </c>
      <c r="BE36" s="73">
        <f>(AZ36*'School Info'!$E$23)/1000</f>
        <v>0</v>
      </c>
      <c r="BG36" s="260">
        <f>IF(OR(AH36&gt;0,AL36&gt;0),MAX(BG35)+7,0)</f>
        <v>0</v>
      </c>
      <c r="BI36" s="462"/>
      <c r="BJ36" s="462"/>
      <c r="BK36" s="462"/>
      <c r="BL36" s="462"/>
    </row>
    <row r="37" spans="1:64" ht="23.25" customHeight="1" thickBot="1">
      <c r="A37" s="462"/>
      <c r="B37" s="109"/>
      <c r="C37" s="79"/>
      <c r="D37" s="79"/>
      <c r="E37" s="79"/>
      <c r="F37" s="79"/>
      <c r="G37" s="79"/>
      <c r="H37" s="79"/>
      <c r="I37" s="79"/>
      <c r="J37" s="187"/>
      <c r="K37" s="108">
        <f t="shared" si="1"/>
        <v>0</v>
      </c>
      <c r="L37" s="208">
        <f>IF('School Info'!$W$7&gt;30,L36+1,"--")</f>
        <v>31</v>
      </c>
      <c r="M37" s="209">
        <f>IF('School Info'!W7&gt;30,'MIlk-Data Entry'!M36+1,"---")</f>
        <v>44926</v>
      </c>
      <c r="N37" s="210" t="str">
        <f t="shared" si="2"/>
        <v>Saturday</v>
      </c>
      <c r="O37" s="211" t="str">
        <f t="shared" si="3"/>
        <v>खुला</v>
      </c>
      <c r="P37" s="333" t="str">
        <f t="shared" si="4"/>
        <v>Saturday</v>
      </c>
      <c r="Q37" s="213" t="str">
        <f t="shared" si="5"/>
        <v>---</v>
      </c>
      <c r="R37" s="333" t="str">
        <f t="shared" si="6"/>
        <v>---</v>
      </c>
      <c r="S37" s="360">
        <f>IF('School Info'!$W$7&gt;=$L37,S36,"---")</f>
        <v>53</v>
      </c>
      <c r="T37" s="360">
        <f>IF('School Info'!$W$7&gt;=$L37,T36,"---")</f>
        <v>53</v>
      </c>
      <c r="U37" s="360">
        <f>IF('School Info'!$W$7&gt;=$L37,U36,"---")</f>
        <v>53</v>
      </c>
      <c r="V37" s="360">
        <f>IF('School Info'!$W$7&gt;=$L37,V36,"---")</f>
        <v>53</v>
      </c>
      <c r="W37" s="360">
        <f>IF('School Info'!$W$7&gt;=$L37,W36,"---")</f>
        <v>53</v>
      </c>
      <c r="X37" s="361">
        <f t="shared" si="15"/>
        <v>265</v>
      </c>
      <c r="Y37" s="360">
        <f>IF('School Info'!$W$7&gt;=$L37,Y36,"---")</f>
        <v>53</v>
      </c>
      <c r="Z37" s="360">
        <f>IF('School Info'!$W$7&gt;=$L37,Z36,"---")</f>
        <v>53</v>
      </c>
      <c r="AA37" s="360">
        <f>IF('School Info'!$W$7&gt;=$L37,AA36,"---")</f>
        <v>53</v>
      </c>
      <c r="AB37" s="362">
        <f t="shared" si="16"/>
        <v>159</v>
      </c>
      <c r="AC37" s="363"/>
      <c r="AD37" s="363"/>
      <c r="AE37" s="363"/>
      <c r="AF37" s="363"/>
      <c r="AG37" s="363"/>
      <c r="AH37" s="362">
        <f t="shared" si="7"/>
        <v>0</v>
      </c>
      <c r="AI37" s="363"/>
      <c r="AJ37" s="363"/>
      <c r="AK37" s="363"/>
      <c r="AL37" s="362">
        <f t="shared" si="8"/>
        <v>0</v>
      </c>
      <c r="AM37" s="367"/>
      <c r="AN37" s="367"/>
      <c r="AO37" s="368"/>
      <c r="AP37" s="369"/>
      <c r="AQ37" s="618"/>
      <c r="AR37" s="618"/>
      <c r="AS37" s="618"/>
      <c r="AT37" s="619"/>
      <c r="AU37" s="550"/>
      <c r="AV37" s="260"/>
      <c r="AW37" s="72">
        <f t="shared" si="9"/>
        <v>0</v>
      </c>
      <c r="AX37" s="72">
        <f t="shared" si="10"/>
        <v>0</v>
      </c>
      <c r="AY37" s="72">
        <f t="shared" si="11"/>
        <v>0</v>
      </c>
      <c r="AZ37" s="72">
        <f t="shared" si="12"/>
        <v>0</v>
      </c>
      <c r="BA37" s="260"/>
      <c r="BB37" s="73">
        <f>AW37*'School Info'!$E$19</f>
        <v>0</v>
      </c>
      <c r="BC37" s="73">
        <f>(AX37*'School Info'!$C$23)/1000</f>
        <v>0</v>
      </c>
      <c r="BD37" s="73">
        <f>AY37*'School Info'!$E$20</f>
        <v>0</v>
      </c>
      <c r="BE37" s="73">
        <f>(AZ37*'School Info'!$E$23)/1000</f>
        <v>0</v>
      </c>
      <c r="BG37" s="260">
        <f>IF(OR(AH37&gt;0,AL37&gt;0),MAX($BG$35:BG36)+7,0)</f>
        <v>0</v>
      </c>
      <c r="BI37" s="462"/>
      <c r="BJ37" s="462"/>
      <c r="BK37" s="462"/>
      <c r="BL37" s="462"/>
    </row>
    <row r="38" spans="1:64" ht="27" customHeight="1" thickBot="1">
      <c r="A38" s="462"/>
      <c r="B38" s="110"/>
      <c r="C38" s="111"/>
      <c r="D38" s="111"/>
      <c r="E38" s="111"/>
      <c r="F38" s="111"/>
      <c r="G38" s="111"/>
      <c r="H38" s="111"/>
      <c r="I38" s="111"/>
      <c r="J38" s="161"/>
      <c r="K38" s="146">
        <f>SUM(K7:K37)</f>
        <v>1</v>
      </c>
      <c r="L38" s="647" t="s">
        <v>125</v>
      </c>
      <c r="M38" s="648"/>
      <c r="N38" s="648"/>
      <c r="O38" s="648"/>
      <c r="P38" s="648"/>
      <c r="Q38" s="648"/>
      <c r="R38" s="709"/>
      <c r="S38" s="277">
        <f>SUM(S7:S37)</f>
        <v>1643</v>
      </c>
      <c r="T38" s="277">
        <f t="shared" ref="T38:AK38" si="28">SUM(T7:T37)</f>
        <v>1643</v>
      </c>
      <c r="U38" s="277">
        <f t="shared" si="28"/>
        <v>1643</v>
      </c>
      <c r="V38" s="277">
        <f t="shared" si="28"/>
        <v>1643</v>
      </c>
      <c r="W38" s="277">
        <f t="shared" si="28"/>
        <v>1643</v>
      </c>
      <c r="X38" s="277">
        <f t="shared" si="28"/>
        <v>8215</v>
      </c>
      <c r="Y38" s="277">
        <f t="shared" si="28"/>
        <v>1643</v>
      </c>
      <c r="Z38" s="277">
        <f t="shared" si="28"/>
        <v>1643</v>
      </c>
      <c r="AA38" s="277">
        <f t="shared" si="28"/>
        <v>1643</v>
      </c>
      <c r="AB38" s="277">
        <f t="shared" si="28"/>
        <v>4929</v>
      </c>
      <c r="AC38" s="277">
        <f t="shared" si="28"/>
        <v>5</v>
      </c>
      <c r="AD38" s="277">
        <f t="shared" si="28"/>
        <v>6</v>
      </c>
      <c r="AE38" s="277">
        <f t="shared" si="28"/>
        <v>0</v>
      </c>
      <c r="AF38" s="277">
        <f t="shared" si="28"/>
        <v>0</v>
      </c>
      <c r="AG38" s="277">
        <f t="shared" si="28"/>
        <v>0</v>
      </c>
      <c r="AH38" s="277">
        <f t="shared" si="28"/>
        <v>11</v>
      </c>
      <c r="AI38" s="277">
        <f t="shared" si="28"/>
        <v>4</v>
      </c>
      <c r="AJ38" s="277">
        <f t="shared" si="28"/>
        <v>5</v>
      </c>
      <c r="AK38" s="277">
        <f t="shared" si="28"/>
        <v>0</v>
      </c>
      <c r="AL38" s="277">
        <f>SUM(AL7:AL37)</f>
        <v>9</v>
      </c>
      <c r="AM38" s="206">
        <f t="shared" ref="AM38:AN38" si="29">SUM(AM7:AM37)</f>
        <v>0</v>
      </c>
      <c r="AN38" s="206">
        <f t="shared" si="29"/>
        <v>0</v>
      </c>
      <c r="AO38" s="206">
        <f t="shared" ref="AO38:AP38" si="30">SUM(AO7:AO37)</f>
        <v>0</v>
      </c>
      <c r="AP38" s="207">
        <f t="shared" si="30"/>
        <v>0</v>
      </c>
      <c r="AQ38" s="620"/>
      <c r="AR38" s="620"/>
      <c r="AS38" s="620"/>
      <c r="AT38" s="621"/>
      <c r="AU38" s="550"/>
      <c r="AV38" s="72" t="s">
        <v>125</v>
      </c>
      <c r="AW38" s="74">
        <f t="shared" ref="AW38:AZ38" si="31">SUM(AW7:AW37)</f>
        <v>11</v>
      </c>
      <c r="AX38" s="74">
        <f t="shared" si="31"/>
        <v>11</v>
      </c>
      <c r="AY38" s="74">
        <f t="shared" si="31"/>
        <v>9</v>
      </c>
      <c r="AZ38" s="74">
        <f t="shared" si="31"/>
        <v>9</v>
      </c>
      <c r="BA38" s="18" t="s">
        <v>125</v>
      </c>
      <c r="BB38" s="74">
        <f>SUM(BB7:BB37)</f>
        <v>0.16499999999999998</v>
      </c>
      <c r="BC38" s="74">
        <f t="shared" ref="BC38:BE38" si="32">SUM(BC7:BC37)</f>
        <v>9.240000000000001E-2</v>
      </c>
      <c r="BD38" s="74">
        <f t="shared" si="32"/>
        <v>0.18</v>
      </c>
      <c r="BE38" s="74">
        <f t="shared" si="32"/>
        <v>9.1799999999999993E-2</v>
      </c>
    </row>
    <row r="39" spans="1:64" ht="9.75" customHeight="1">
      <c r="A39" s="462"/>
      <c r="B39" s="462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62"/>
      <c r="Y39" s="462"/>
      <c r="Z39" s="462"/>
      <c r="AA39" s="462"/>
      <c r="AB39" s="462"/>
      <c r="AC39" s="462"/>
      <c r="AD39" s="462"/>
      <c r="AE39" s="462"/>
      <c r="AF39" s="462"/>
      <c r="AG39" s="462"/>
      <c r="AH39" s="462"/>
      <c r="AI39" s="462"/>
      <c r="AJ39" s="462"/>
      <c r="AK39" s="462"/>
      <c r="AL39" s="462"/>
      <c r="AM39" s="462"/>
      <c r="AN39" s="462"/>
      <c r="AO39" s="462"/>
      <c r="AP39" s="462"/>
      <c r="AQ39" s="462"/>
      <c r="AR39" s="462"/>
      <c r="AS39" s="462"/>
      <c r="AT39" s="462"/>
      <c r="AU39" s="462"/>
      <c r="AV39" s="42"/>
      <c r="AW39" s="42"/>
      <c r="AX39" s="42"/>
      <c r="AY39" s="42"/>
      <c r="AZ39" s="42"/>
      <c r="BA39" s="42"/>
    </row>
    <row r="40" spans="1:64" ht="23.25" hidden="1" customHeight="1">
      <c r="AV40" s="260"/>
      <c r="BA40" s="260"/>
    </row>
    <row r="41" spans="1:64" ht="18" hidden="1" customHeight="1">
      <c r="AV41" s="260"/>
      <c r="BA41" s="260"/>
    </row>
    <row r="42" spans="1:64" ht="18" hidden="1" customHeight="1">
      <c r="AV42" s="260"/>
      <c r="BA42" s="260"/>
    </row>
    <row r="43" spans="1:64" ht="18" hidden="1" customHeight="1">
      <c r="AV43" s="260"/>
      <c r="BA43" s="260"/>
    </row>
    <row r="44" spans="1:64" ht="18" hidden="1" customHeight="1">
      <c r="AV44" s="260">
        <v>0</v>
      </c>
      <c r="BA44" s="260"/>
    </row>
    <row r="45" spans="1:64" ht="18" hidden="1" customHeight="1">
      <c r="AV45" s="260">
        <v>1</v>
      </c>
      <c r="BA45" s="260"/>
    </row>
    <row r="46" spans="1:64" ht="18" hidden="1" customHeight="1">
      <c r="AV46" s="260">
        <v>2</v>
      </c>
      <c r="BA46" s="260"/>
    </row>
    <row r="47" spans="1:64" ht="18" hidden="1" customHeight="1">
      <c r="AV47" s="260">
        <v>3</v>
      </c>
      <c r="BA47" s="260"/>
    </row>
    <row r="48" spans="1:64" ht="18" hidden="1" customHeight="1">
      <c r="AV48" s="260">
        <v>4</v>
      </c>
      <c r="BA48" s="260"/>
    </row>
    <row r="49" spans="39:59" ht="18" hidden="1" customHeight="1">
      <c r="AV49" s="260">
        <v>5</v>
      </c>
      <c r="BA49" s="260"/>
    </row>
    <row r="50" spans="39:59" ht="18" hidden="1" customHeight="1">
      <c r="AV50" s="260">
        <v>6</v>
      </c>
      <c r="BA50" s="260"/>
    </row>
    <row r="51" spans="39:59" ht="18" hidden="1" customHeight="1">
      <c r="AV51" s="260">
        <v>7</v>
      </c>
      <c r="BA51" s="260"/>
    </row>
    <row r="52" spans="39:59" ht="12.75" hidden="1" customHeight="1">
      <c r="AV52" s="260">
        <v>8</v>
      </c>
      <c r="BA52" s="260"/>
    </row>
    <row r="53" spans="39:59" ht="12.75" hidden="1" customHeight="1">
      <c r="AV53" s="260">
        <v>9</v>
      </c>
      <c r="BA53" s="260"/>
    </row>
    <row r="54" spans="39:59" ht="12.75" hidden="1" customHeight="1">
      <c r="AV54" s="260">
        <v>10</v>
      </c>
      <c r="BA54" s="260"/>
    </row>
    <row r="55" spans="39:59" ht="12.75" hidden="1" customHeight="1">
      <c r="AV55" s="260">
        <v>11</v>
      </c>
      <c r="BA55" s="260"/>
    </row>
    <row r="56" spans="39:59" ht="12.75" hidden="1" customHeight="1">
      <c r="AV56" s="260">
        <v>12</v>
      </c>
      <c r="BA56" s="260"/>
    </row>
    <row r="57" spans="39:59" ht="12.75" hidden="1" customHeight="1">
      <c r="AV57" s="260">
        <v>13</v>
      </c>
      <c r="BA57" s="260"/>
    </row>
    <row r="58" spans="39:59" ht="26.25" hidden="1" customHeight="1">
      <c r="AV58" s="260">
        <v>14</v>
      </c>
      <c r="BA58" s="260"/>
    </row>
    <row r="59" spans="39:59" ht="39" hidden="1" customHeight="1">
      <c r="AV59" s="260">
        <v>15</v>
      </c>
      <c r="BA59" s="260"/>
    </row>
    <row r="60" spans="39:59" ht="384" hidden="1" customHeight="1">
      <c r="AV60" s="260">
        <v>16</v>
      </c>
      <c r="BA60" s="260"/>
    </row>
    <row r="61" spans="39:59" ht="15.75" hidden="1">
      <c r="AV61" s="260">
        <v>17</v>
      </c>
      <c r="BA61" s="260"/>
    </row>
    <row r="62" spans="39:59" s="42" customFormat="1" ht="15" hidden="1" customHeight="1">
      <c r="AM62" s="168"/>
      <c r="AN62" s="168"/>
      <c r="AO62" s="168"/>
      <c r="AP62" s="168"/>
      <c r="AV62" s="258">
        <v>18</v>
      </c>
      <c r="BA62" s="258"/>
      <c r="BG62" s="70"/>
    </row>
    <row r="63" spans="39:59" ht="18" hidden="1" customHeight="1">
      <c r="AV63" s="260">
        <v>19</v>
      </c>
      <c r="BA63" s="260"/>
    </row>
    <row r="64" spans="39:59" ht="15" hidden="1" customHeight="1">
      <c r="AV64" s="260">
        <v>20</v>
      </c>
      <c r="BA64" s="260"/>
    </row>
    <row r="65" spans="48:53" ht="15" hidden="1" customHeight="1">
      <c r="AV65" s="260">
        <v>21</v>
      </c>
      <c r="BA65" s="260"/>
    </row>
    <row r="66" spans="48:53" ht="15" hidden="1" customHeight="1">
      <c r="AV66" s="260">
        <v>22</v>
      </c>
      <c r="BA66" s="260"/>
    </row>
    <row r="67" spans="48:53" ht="15" hidden="1" customHeight="1">
      <c r="AV67" s="260">
        <v>23</v>
      </c>
      <c r="BA67" s="260"/>
    </row>
    <row r="68" spans="48:53" ht="15" hidden="1" customHeight="1">
      <c r="AV68" s="260">
        <v>24</v>
      </c>
      <c r="BA68" s="260"/>
    </row>
    <row r="69" spans="48:53" ht="15" hidden="1" customHeight="1">
      <c r="AV69" s="260">
        <v>25</v>
      </c>
      <c r="BA69" s="260"/>
    </row>
    <row r="70" spans="48:53" ht="15" hidden="1" customHeight="1">
      <c r="AV70" s="260">
        <v>26</v>
      </c>
      <c r="BA70" s="260"/>
    </row>
    <row r="71" spans="48:53" ht="15.75" hidden="1" customHeight="1">
      <c r="AV71" s="260">
        <v>27</v>
      </c>
      <c r="BA71" s="260"/>
    </row>
    <row r="72" spans="48:53" ht="19.5" hidden="1" customHeight="1">
      <c r="AV72" s="260">
        <v>28</v>
      </c>
      <c r="BA72" s="260"/>
    </row>
    <row r="73" spans="48:53" ht="19.5" hidden="1" customHeight="1">
      <c r="AV73" s="260">
        <v>29</v>
      </c>
      <c r="BA73" s="260"/>
    </row>
    <row r="74" spans="48:53" ht="22.5" hidden="1" customHeight="1">
      <c r="AV74" s="260">
        <v>30</v>
      </c>
      <c r="BA74" s="260"/>
    </row>
    <row r="75" spans="48:53" ht="22.5" hidden="1" customHeight="1">
      <c r="AV75" s="260">
        <v>31</v>
      </c>
      <c r="BA75" s="260"/>
    </row>
    <row r="76" spans="48:53" ht="22.5" hidden="1" customHeight="1">
      <c r="AV76" s="260">
        <v>32</v>
      </c>
      <c r="BA76" s="260"/>
    </row>
    <row r="77" spans="48:53" ht="22.5" hidden="1" customHeight="1">
      <c r="AV77" s="260">
        <v>33</v>
      </c>
      <c r="BA77" s="260"/>
    </row>
    <row r="78" spans="48:53" ht="22.5" hidden="1" customHeight="1">
      <c r="AV78" s="260">
        <v>34</v>
      </c>
      <c r="BA78" s="260"/>
    </row>
    <row r="79" spans="48:53" ht="22.5" hidden="1" customHeight="1">
      <c r="AV79" s="260">
        <v>35</v>
      </c>
      <c r="BA79" s="260"/>
    </row>
    <row r="80" spans="48:53" ht="22.5" hidden="1" customHeight="1">
      <c r="AV80" s="260">
        <v>36</v>
      </c>
      <c r="BA80" s="260"/>
    </row>
    <row r="81" spans="48:53" ht="22.5" hidden="1" customHeight="1">
      <c r="AV81" s="260">
        <v>37</v>
      </c>
      <c r="BA81" s="260"/>
    </row>
    <row r="82" spans="48:53" ht="22.5" hidden="1" customHeight="1">
      <c r="AV82" s="260">
        <v>38</v>
      </c>
      <c r="BA82" s="260"/>
    </row>
    <row r="83" spans="48:53" ht="22.5" hidden="1" customHeight="1">
      <c r="AV83" s="260">
        <v>39</v>
      </c>
      <c r="BA83" s="260"/>
    </row>
    <row r="84" spans="48:53" ht="22.5" hidden="1" customHeight="1">
      <c r="AV84" s="260">
        <v>40</v>
      </c>
      <c r="BA84" s="260"/>
    </row>
    <row r="85" spans="48:53" ht="22.5" hidden="1" customHeight="1">
      <c r="AV85" s="260">
        <v>41</v>
      </c>
      <c r="BA85" s="260"/>
    </row>
    <row r="86" spans="48:53" ht="22.5" hidden="1" customHeight="1">
      <c r="AV86" s="260">
        <v>42</v>
      </c>
      <c r="BA86" s="260"/>
    </row>
    <row r="87" spans="48:53" ht="22.5" hidden="1" customHeight="1">
      <c r="AV87" s="260">
        <v>43</v>
      </c>
      <c r="BA87" s="260"/>
    </row>
    <row r="88" spans="48:53" ht="22.5" hidden="1" customHeight="1">
      <c r="AV88" s="260">
        <v>44</v>
      </c>
      <c r="BA88" s="260"/>
    </row>
    <row r="89" spans="48:53" ht="22.5" hidden="1" customHeight="1">
      <c r="AV89" s="260">
        <v>45</v>
      </c>
      <c r="BA89" s="260"/>
    </row>
    <row r="90" spans="48:53" ht="22.5" hidden="1" customHeight="1">
      <c r="AV90" s="260">
        <v>46</v>
      </c>
      <c r="BA90" s="260"/>
    </row>
    <row r="91" spans="48:53" ht="22.5" hidden="1" customHeight="1">
      <c r="AV91" s="260">
        <v>47</v>
      </c>
      <c r="BA91" s="260"/>
    </row>
    <row r="92" spans="48:53" ht="22.5" hidden="1" customHeight="1">
      <c r="AV92" s="260">
        <v>48</v>
      </c>
      <c r="BA92" s="260"/>
    </row>
    <row r="93" spans="48:53" ht="22.5" hidden="1" customHeight="1">
      <c r="AV93" s="260">
        <v>49</v>
      </c>
      <c r="BA93" s="260"/>
    </row>
    <row r="94" spans="48:53" ht="22.5" hidden="1" customHeight="1">
      <c r="AV94" s="260">
        <v>50</v>
      </c>
      <c r="BA94" s="260"/>
    </row>
    <row r="95" spans="48:53" ht="22.5" hidden="1" customHeight="1">
      <c r="AV95" s="260">
        <v>51</v>
      </c>
      <c r="BA95" s="260"/>
    </row>
    <row r="96" spans="48:53" ht="22.5" hidden="1" customHeight="1">
      <c r="AV96" s="260">
        <v>52</v>
      </c>
      <c r="BA96" s="260"/>
    </row>
    <row r="97" spans="48:53" ht="22.5" hidden="1" customHeight="1">
      <c r="AV97" s="260">
        <v>53</v>
      </c>
      <c r="BA97" s="260"/>
    </row>
    <row r="98" spans="48:53" ht="22.5" hidden="1" customHeight="1">
      <c r="AV98" s="260">
        <v>54</v>
      </c>
      <c r="BA98" s="260"/>
    </row>
    <row r="99" spans="48:53" ht="22.5" hidden="1" customHeight="1">
      <c r="AV99" s="260">
        <v>55</v>
      </c>
      <c r="BA99" s="260"/>
    </row>
    <row r="100" spans="48:53" ht="22.5" hidden="1" customHeight="1">
      <c r="AV100" s="260">
        <v>56</v>
      </c>
      <c r="BA100" s="260"/>
    </row>
    <row r="101" spans="48:53" ht="22.5" hidden="1" customHeight="1">
      <c r="AV101" s="260">
        <v>57</v>
      </c>
      <c r="BA101" s="260"/>
    </row>
    <row r="102" spans="48:53" ht="22.5" hidden="1" customHeight="1">
      <c r="AV102" s="260">
        <v>58</v>
      </c>
      <c r="BA102" s="260"/>
    </row>
    <row r="103" spans="48:53" ht="22.5" hidden="1" customHeight="1">
      <c r="AV103" s="260">
        <v>59</v>
      </c>
      <c r="BA103" s="260"/>
    </row>
    <row r="104" spans="48:53" ht="22.5" hidden="1" customHeight="1">
      <c r="AV104" s="260">
        <v>60</v>
      </c>
      <c r="BA104" s="260"/>
    </row>
    <row r="105" spans="48:53" ht="23.25" hidden="1" customHeight="1">
      <c r="AV105" s="260">
        <v>61</v>
      </c>
      <c r="BA105" s="260"/>
    </row>
    <row r="106" spans="48:53" ht="45.75" hidden="1" customHeight="1">
      <c r="AV106" s="260">
        <v>62</v>
      </c>
      <c r="BA106" s="260"/>
    </row>
    <row r="107" spans="48:53" ht="15.75" hidden="1">
      <c r="AV107" s="260">
        <v>63</v>
      </c>
      <c r="BA107" s="260"/>
    </row>
    <row r="108" spans="48:53" ht="15.75" hidden="1">
      <c r="AV108" s="260">
        <v>64</v>
      </c>
      <c r="BA108" s="260"/>
    </row>
    <row r="109" spans="48:53" ht="15.75" hidden="1">
      <c r="AV109" s="260">
        <v>65</v>
      </c>
      <c r="BA109" s="260"/>
    </row>
    <row r="110" spans="48:53" ht="15.75" hidden="1">
      <c r="AV110" s="260">
        <v>66</v>
      </c>
      <c r="BA110" s="260"/>
    </row>
    <row r="111" spans="48:53" ht="15.75" hidden="1">
      <c r="AV111" s="260">
        <v>67</v>
      </c>
      <c r="BA111" s="260"/>
    </row>
    <row r="112" spans="48:53" ht="15.75" hidden="1">
      <c r="AV112" s="260">
        <v>68</v>
      </c>
      <c r="BA112" s="260"/>
    </row>
    <row r="113" spans="48:53" ht="15.75" hidden="1">
      <c r="AV113" s="260">
        <v>69</v>
      </c>
      <c r="BA113" s="260"/>
    </row>
    <row r="114" spans="48:53" ht="15.75" hidden="1">
      <c r="AV114" s="260">
        <v>70</v>
      </c>
      <c r="BA114" s="260"/>
    </row>
    <row r="115" spans="48:53" ht="15.75" hidden="1">
      <c r="AV115" s="260">
        <v>71</v>
      </c>
      <c r="BA115" s="260"/>
    </row>
    <row r="116" spans="48:53" ht="15.75" hidden="1">
      <c r="AV116" s="260">
        <v>72</v>
      </c>
      <c r="BA116" s="260"/>
    </row>
    <row r="117" spans="48:53" ht="15.75" hidden="1">
      <c r="AV117" s="260">
        <v>73</v>
      </c>
      <c r="BA117" s="260"/>
    </row>
    <row r="118" spans="48:53" ht="15.75" hidden="1">
      <c r="AV118" s="260">
        <v>74</v>
      </c>
      <c r="BA118" s="260"/>
    </row>
    <row r="119" spans="48:53" ht="15.75" hidden="1">
      <c r="AV119" s="260">
        <v>75</v>
      </c>
      <c r="BA119" s="260"/>
    </row>
    <row r="120" spans="48:53" ht="15.75" hidden="1">
      <c r="AV120" s="260">
        <v>76</v>
      </c>
      <c r="BA120" s="260"/>
    </row>
    <row r="121" spans="48:53" ht="15.75" hidden="1">
      <c r="AV121" s="260">
        <v>77</v>
      </c>
      <c r="BA121" s="260"/>
    </row>
    <row r="122" spans="48:53" ht="15.75" hidden="1">
      <c r="AV122" s="260">
        <v>78</v>
      </c>
      <c r="BA122" s="260"/>
    </row>
    <row r="123" spans="48:53" ht="15.75" hidden="1">
      <c r="AV123" s="260">
        <v>79</v>
      </c>
      <c r="BA123" s="260"/>
    </row>
    <row r="124" spans="48:53" ht="15.75" hidden="1">
      <c r="AV124" s="260">
        <v>80</v>
      </c>
      <c r="BA124" s="260"/>
    </row>
    <row r="125" spans="48:53" ht="15.75" hidden="1">
      <c r="AV125" s="260">
        <v>81</v>
      </c>
      <c r="BA125" s="260"/>
    </row>
    <row r="126" spans="48:53" ht="15.75" hidden="1">
      <c r="AV126" s="260">
        <v>82</v>
      </c>
      <c r="BA126" s="260"/>
    </row>
    <row r="127" spans="48:53" ht="15.75" hidden="1">
      <c r="AV127" s="260">
        <v>83</v>
      </c>
      <c r="BA127" s="260"/>
    </row>
    <row r="128" spans="48:53" ht="15.75" hidden="1">
      <c r="AV128" s="260">
        <v>84</v>
      </c>
      <c r="BA128" s="260"/>
    </row>
    <row r="129" spans="48:53" ht="15.75" hidden="1">
      <c r="AV129" s="260">
        <v>85</v>
      </c>
      <c r="BA129" s="260"/>
    </row>
    <row r="130" spans="48:53" ht="15.75" hidden="1">
      <c r="AV130" s="260">
        <v>86</v>
      </c>
      <c r="BA130" s="260"/>
    </row>
    <row r="131" spans="48:53" ht="15.75" hidden="1">
      <c r="AV131" s="260">
        <v>87</v>
      </c>
      <c r="BA131" s="260"/>
    </row>
    <row r="132" spans="48:53" ht="15.75" hidden="1">
      <c r="AV132" s="260">
        <v>88</v>
      </c>
      <c r="BA132" s="260"/>
    </row>
    <row r="133" spans="48:53" ht="15.75" hidden="1">
      <c r="AV133" s="260">
        <v>89</v>
      </c>
      <c r="BA133" s="260"/>
    </row>
    <row r="134" spans="48:53" ht="15.75" hidden="1">
      <c r="AV134" s="260">
        <v>90</v>
      </c>
      <c r="BA134" s="260"/>
    </row>
    <row r="135" spans="48:53" ht="15.75" hidden="1">
      <c r="AV135" s="260">
        <v>91</v>
      </c>
      <c r="BA135" s="260"/>
    </row>
    <row r="136" spans="48:53" ht="15.75" hidden="1">
      <c r="AV136" s="260">
        <v>92</v>
      </c>
      <c r="BA136" s="260"/>
    </row>
    <row r="137" spans="48:53" ht="15.75" hidden="1">
      <c r="AV137" s="260">
        <v>93</v>
      </c>
      <c r="BA137" s="260"/>
    </row>
    <row r="138" spans="48:53" ht="15.75" hidden="1">
      <c r="AV138" s="260">
        <v>94</v>
      </c>
      <c r="BA138" s="260"/>
    </row>
    <row r="139" spans="48:53" ht="15.75" hidden="1">
      <c r="AV139" s="260">
        <v>95</v>
      </c>
      <c r="BA139" s="260"/>
    </row>
    <row r="140" spans="48:53" ht="15.75" hidden="1">
      <c r="AV140" s="260">
        <v>96</v>
      </c>
      <c r="BA140" s="260"/>
    </row>
    <row r="141" spans="48:53" ht="15.75" hidden="1">
      <c r="AV141" s="260">
        <v>97</v>
      </c>
      <c r="BA141" s="260"/>
    </row>
    <row r="142" spans="48:53" ht="15.75" hidden="1">
      <c r="AV142" s="260">
        <v>98</v>
      </c>
      <c r="BA142" s="260"/>
    </row>
    <row r="143" spans="48:53" ht="15.75" hidden="1">
      <c r="AV143" s="260">
        <v>99</v>
      </c>
      <c r="BA143" s="260"/>
    </row>
    <row r="144" spans="48:53" ht="15.75" hidden="1">
      <c r="AV144" s="260">
        <v>100</v>
      </c>
      <c r="BA144" s="260"/>
    </row>
    <row r="145" spans="48:53" ht="15.75" hidden="1">
      <c r="AV145" s="260">
        <v>101</v>
      </c>
      <c r="BA145" s="260"/>
    </row>
    <row r="146" spans="48:53" ht="15.75" hidden="1">
      <c r="AV146" s="260">
        <v>102</v>
      </c>
      <c r="BA146" s="260"/>
    </row>
    <row r="147" spans="48:53" ht="15.75" hidden="1">
      <c r="AV147" s="260">
        <v>103</v>
      </c>
      <c r="BA147" s="260"/>
    </row>
    <row r="148" spans="48:53" ht="15.75" hidden="1">
      <c r="AV148" s="260">
        <v>104</v>
      </c>
      <c r="BA148" s="260"/>
    </row>
    <row r="149" spans="48:53" ht="15.75" hidden="1">
      <c r="AV149" s="260">
        <v>105</v>
      </c>
      <c r="BA149" s="260"/>
    </row>
    <row r="150" spans="48:53" ht="15.75" hidden="1">
      <c r="AV150" s="260">
        <v>106</v>
      </c>
      <c r="BA150" s="260"/>
    </row>
    <row r="151" spans="48:53" ht="15.75" hidden="1">
      <c r="AV151" s="260">
        <v>107</v>
      </c>
      <c r="BA151" s="260"/>
    </row>
    <row r="152" spans="48:53" ht="15.75" hidden="1">
      <c r="AV152" s="260">
        <v>108</v>
      </c>
      <c r="BA152" s="260"/>
    </row>
    <row r="153" spans="48:53" ht="15.75" hidden="1">
      <c r="AV153" s="260">
        <v>109</v>
      </c>
      <c r="BA153" s="260"/>
    </row>
    <row r="154" spans="48:53" ht="15.75" hidden="1">
      <c r="AV154" s="260">
        <v>110</v>
      </c>
      <c r="BA154" s="260"/>
    </row>
    <row r="155" spans="48:53" ht="15.75" hidden="1">
      <c r="AV155" s="260">
        <v>111</v>
      </c>
      <c r="BA155" s="260"/>
    </row>
    <row r="156" spans="48:53" ht="15.75" hidden="1">
      <c r="AV156" s="260">
        <v>112</v>
      </c>
      <c r="BA156" s="260"/>
    </row>
    <row r="157" spans="48:53" ht="15.75" hidden="1">
      <c r="AV157" s="260">
        <v>113</v>
      </c>
      <c r="BA157" s="260"/>
    </row>
    <row r="158" spans="48:53" ht="15.75" hidden="1">
      <c r="AV158" s="260">
        <v>114</v>
      </c>
      <c r="BA158" s="260"/>
    </row>
    <row r="159" spans="48:53" ht="15.75" hidden="1">
      <c r="AV159" s="260">
        <v>115</v>
      </c>
      <c r="BA159" s="260"/>
    </row>
    <row r="160" spans="48:53" ht="15.75" hidden="1">
      <c r="AV160" s="260">
        <v>116</v>
      </c>
      <c r="BA160" s="260"/>
    </row>
    <row r="161" spans="48:53" ht="15.75" hidden="1">
      <c r="AV161" s="260">
        <v>117</v>
      </c>
      <c r="BA161" s="260"/>
    </row>
    <row r="162" spans="48:53" ht="15.75" hidden="1">
      <c r="AV162" s="260">
        <v>118</v>
      </c>
      <c r="BA162" s="260"/>
    </row>
    <row r="163" spans="48:53" ht="15.75" hidden="1">
      <c r="AV163" s="260">
        <v>119</v>
      </c>
      <c r="BA163" s="260"/>
    </row>
    <row r="164" spans="48:53" ht="15.75" hidden="1">
      <c r="AV164" s="260">
        <v>120</v>
      </c>
      <c r="BA164" s="260"/>
    </row>
    <row r="165" spans="48:53" ht="15.75" hidden="1">
      <c r="AV165" s="260">
        <v>121</v>
      </c>
      <c r="BA165" s="260"/>
    </row>
    <row r="166" spans="48:53" ht="15.75" hidden="1">
      <c r="AV166" s="260">
        <v>122</v>
      </c>
      <c r="BA166" s="260"/>
    </row>
    <row r="167" spans="48:53" ht="15.75" hidden="1">
      <c r="AV167" s="260">
        <v>123</v>
      </c>
      <c r="BA167" s="260"/>
    </row>
    <row r="168" spans="48:53" ht="15.75" hidden="1">
      <c r="AV168" s="260">
        <v>124</v>
      </c>
      <c r="BA168" s="260"/>
    </row>
    <row r="169" spans="48:53" ht="15.75" hidden="1">
      <c r="AV169" s="260">
        <v>125</v>
      </c>
      <c r="BA169" s="260"/>
    </row>
    <row r="170" spans="48:53" ht="15.75" hidden="1">
      <c r="AV170" s="260">
        <v>126</v>
      </c>
      <c r="BA170" s="260"/>
    </row>
    <row r="171" spans="48:53" ht="15.75" hidden="1">
      <c r="AV171" s="260">
        <v>127</v>
      </c>
      <c r="BA171" s="260"/>
    </row>
    <row r="172" spans="48:53" ht="15.75" hidden="1">
      <c r="AV172" s="260">
        <v>128</v>
      </c>
      <c r="BA172" s="260"/>
    </row>
    <row r="173" spans="48:53" ht="15.75" hidden="1">
      <c r="AV173" s="260">
        <v>129</v>
      </c>
      <c r="BA173" s="260"/>
    </row>
    <row r="174" spans="48:53" ht="15.75" hidden="1">
      <c r="AV174" s="260">
        <v>130</v>
      </c>
      <c r="BA174" s="260"/>
    </row>
    <row r="175" spans="48:53" ht="15.75" hidden="1">
      <c r="AV175" s="260">
        <v>131</v>
      </c>
      <c r="BA175" s="260"/>
    </row>
    <row r="176" spans="48:53" ht="15.75" hidden="1">
      <c r="AV176" s="260">
        <v>132</v>
      </c>
      <c r="BA176" s="260"/>
    </row>
    <row r="177" spans="48:53" ht="15.75" hidden="1">
      <c r="AV177" s="260">
        <v>133</v>
      </c>
      <c r="BA177" s="260"/>
    </row>
    <row r="178" spans="48:53" ht="15.75" hidden="1">
      <c r="AV178" s="260">
        <v>134</v>
      </c>
      <c r="BA178" s="260"/>
    </row>
    <row r="179" spans="48:53" ht="15.75" hidden="1">
      <c r="AV179" s="260">
        <v>135</v>
      </c>
      <c r="BA179" s="260"/>
    </row>
    <row r="180" spans="48:53" ht="15.75" hidden="1">
      <c r="AV180" s="260">
        <v>136</v>
      </c>
      <c r="BA180" s="260"/>
    </row>
    <row r="181" spans="48:53" ht="15.75" hidden="1">
      <c r="AV181" s="260">
        <v>137</v>
      </c>
      <c r="BA181" s="260"/>
    </row>
    <row r="182" spans="48:53" ht="15.75" hidden="1">
      <c r="AV182" s="260">
        <v>138</v>
      </c>
      <c r="BA182" s="260"/>
    </row>
    <row r="183" spans="48:53" ht="15.75" hidden="1">
      <c r="AV183" s="260">
        <v>139</v>
      </c>
      <c r="BA183" s="260"/>
    </row>
    <row r="184" spans="48:53" ht="15.75" hidden="1">
      <c r="AV184" s="260">
        <v>140</v>
      </c>
      <c r="BA184" s="260"/>
    </row>
    <row r="185" spans="48:53" ht="15.75" hidden="1">
      <c r="AV185" s="260">
        <v>141</v>
      </c>
      <c r="BA185" s="260"/>
    </row>
    <row r="186" spans="48:53" ht="15.75" hidden="1">
      <c r="AV186" s="260">
        <v>142</v>
      </c>
      <c r="BA186" s="260"/>
    </row>
    <row r="187" spans="48:53" ht="15.75" hidden="1">
      <c r="AV187" s="260">
        <v>143</v>
      </c>
      <c r="BA187" s="260"/>
    </row>
    <row r="188" spans="48:53" ht="15.75" hidden="1">
      <c r="AV188" s="260">
        <v>144</v>
      </c>
      <c r="BA188" s="260"/>
    </row>
    <row r="189" spans="48:53" ht="15.75" hidden="1">
      <c r="AV189" s="260">
        <v>145</v>
      </c>
      <c r="BA189" s="260"/>
    </row>
    <row r="190" spans="48:53" ht="15.75" hidden="1">
      <c r="AV190" s="260">
        <v>146</v>
      </c>
      <c r="BA190" s="260"/>
    </row>
    <row r="191" spans="48:53" ht="15.75" hidden="1">
      <c r="AV191" s="260">
        <v>147</v>
      </c>
      <c r="BA191" s="260"/>
    </row>
    <row r="192" spans="48:53" ht="15.75" hidden="1">
      <c r="AV192" s="260">
        <v>148</v>
      </c>
      <c r="BA192" s="260"/>
    </row>
    <row r="193" spans="48:53" ht="15.75" hidden="1">
      <c r="AV193" s="260">
        <v>149</v>
      </c>
      <c r="BA193" s="260"/>
    </row>
    <row r="194" spans="48:53" ht="15.75" hidden="1">
      <c r="AV194" s="260">
        <v>150</v>
      </c>
      <c r="BA194" s="260"/>
    </row>
    <row r="195" spans="48:53" ht="15.75" hidden="1">
      <c r="AV195" s="260">
        <v>151</v>
      </c>
      <c r="BA195" s="260"/>
    </row>
    <row r="196" spans="48:53" ht="15.75" hidden="1">
      <c r="AV196" s="260">
        <v>152</v>
      </c>
      <c r="BA196" s="260"/>
    </row>
    <row r="197" spans="48:53" ht="15.75" hidden="1">
      <c r="AV197" s="260">
        <v>153</v>
      </c>
      <c r="BA197" s="260"/>
    </row>
    <row r="198" spans="48:53" ht="15.75" hidden="1">
      <c r="AV198" s="260">
        <v>154</v>
      </c>
      <c r="BA198" s="260"/>
    </row>
    <row r="199" spans="48:53" ht="15.75" hidden="1">
      <c r="AV199" s="260">
        <v>155</v>
      </c>
      <c r="BA199" s="260"/>
    </row>
    <row r="200" spans="48:53" ht="15.75" hidden="1">
      <c r="AV200" s="260">
        <v>156</v>
      </c>
      <c r="BA200" s="260"/>
    </row>
    <row r="201" spans="48:53" ht="15.75" hidden="1">
      <c r="AV201" s="260">
        <v>157</v>
      </c>
      <c r="BA201" s="260"/>
    </row>
    <row r="202" spans="48:53" ht="15.75" hidden="1">
      <c r="AV202" s="260">
        <v>158</v>
      </c>
      <c r="BA202" s="260"/>
    </row>
    <row r="203" spans="48:53" ht="15.75" hidden="1">
      <c r="AV203" s="260">
        <v>159</v>
      </c>
      <c r="BA203" s="260"/>
    </row>
    <row r="204" spans="48:53" ht="15.75" hidden="1">
      <c r="AV204" s="260">
        <v>160</v>
      </c>
      <c r="BA204" s="260"/>
    </row>
    <row r="205" spans="48:53" ht="15.75" hidden="1">
      <c r="AV205" s="260">
        <v>161</v>
      </c>
      <c r="BA205" s="260"/>
    </row>
    <row r="206" spans="48:53" ht="15.75" hidden="1">
      <c r="AV206" s="260">
        <v>162</v>
      </c>
      <c r="BA206" s="260"/>
    </row>
    <row r="207" spans="48:53" ht="15.75" hidden="1">
      <c r="AV207" s="260">
        <v>163</v>
      </c>
      <c r="BA207" s="260"/>
    </row>
    <row r="208" spans="48:53" ht="15.75" hidden="1">
      <c r="AV208" s="260">
        <v>164</v>
      </c>
      <c r="BA208" s="260"/>
    </row>
    <row r="209" spans="48:53" ht="15.75" hidden="1">
      <c r="AV209" s="260">
        <v>165</v>
      </c>
      <c r="BA209" s="260"/>
    </row>
    <row r="210" spans="48:53" ht="15.75" hidden="1">
      <c r="AV210" s="260">
        <v>166</v>
      </c>
      <c r="BA210" s="260"/>
    </row>
    <row r="211" spans="48:53" ht="15.75" hidden="1">
      <c r="AV211" s="260">
        <v>167</v>
      </c>
      <c r="BA211" s="260"/>
    </row>
    <row r="212" spans="48:53" ht="15.75" hidden="1">
      <c r="AV212" s="260">
        <v>168</v>
      </c>
      <c r="BA212" s="260"/>
    </row>
    <row r="213" spans="48:53" ht="15.75" hidden="1">
      <c r="AV213" s="260">
        <v>169</v>
      </c>
      <c r="BA213" s="260"/>
    </row>
    <row r="214" spans="48:53" ht="15.75" hidden="1">
      <c r="AV214" s="260">
        <v>170</v>
      </c>
      <c r="BA214" s="260"/>
    </row>
    <row r="215" spans="48:53" ht="15.75" hidden="1">
      <c r="AV215" s="260">
        <v>171</v>
      </c>
      <c r="BA215" s="260"/>
    </row>
    <row r="216" spans="48:53" ht="15.75" hidden="1">
      <c r="AV216" s="260">
        <v>172</v>
      </c>
      <c r="BA216" s="260"/>
    </row>
    <row r="217" spans="48:53" ht="15.75" hidden="1">
      <c r="AV217" s="260">
        <v>173</v>
      </c>
      <c r="BA217" s="260"/>
    </row>
    <row r="218" spans="48:53" ht="15.75" hidden="1">
      <c r="AV218" s="260">
        <v>174</v>
      </c>
      <c r="BA218" s="260"/>
    </row>
    <row r="219" spans="48:53" ht="15.75" hidden="1">
      <c r="AV219" s="260">
        <v>175</v>
      </c>
      <c r="BA219" s="260"/>
    </row>
    <row r="220" spans="48:53" ht="15.75" hidden="1">
      <c r="AV220" s="260">
        <v>176</v>
      </c>
      <c r="BA220" s="260"/>
    </row>
    <row r="221" spans="48:53" ht="15.75" hidden="1">
      <c r="AV221" s="260">
        <v>177</v>
      </c>
      <c r="BA221" s="260"/>
    </row>
    <row r="222" spans="48:53" ht="15.75" hidden="1">
      <c r="AV222" s="260">
        <v>178</v>
      </c>
      <c r="BA222" s="260"/>
    </row>
    <row r="223" spans="48:53" ht="15.75" hidden="1">
      <c r="AV223" s="260">
        <v>179</v>
      </c>
      <c r="BA223" s="260"/>
    </row>
    <row r="224" spans="48:53" ht="15.75" hidden="1">
      <c r="AV224" s="260">
        <v>180</v>
      </c>
      <c r="BA224" s="260"/>
    </row>
    <row r="225" spans="48:53" ht="15.75" hidden="1">
      <c r="AV225" s="260">
        <v>181</v>
      </c>
      <c r="BA225" s="260"/>
    </row>
    <row r="226" spans="48:53" ht="15.75" hidden="1">
      <c r="AV226" s="260">
        <v>182</v>
      </c>
      <c r="BA226" s="260"/>
    </row>
    <row r="227" spans="48:53" ht="15.75" hidden="1">
      <c r="AV227" s="260">
        <v>183</v>
      </c>
      <c r="BA227" s="260"/>
    </row>
    <row r="228" spans="48:53" ht="15.75" hidden="1">
      <c r="AV228" s="260">
        <v>184</v>
      </c>
      <c r="BA228" s="260"/>
    </row>
    <row r="229" spans="48:53" ht="15.75" hidden="1">
      <c r="AV229" s="260">
        <v>185</v>
      </c>
      <c r="BA229" s="260"/>
    </row>
    <row r="230" spans="48:53" ht="15.75" hidden="1">
      <c r="AV230" s="260">
        <v>186</v>
      </c>
      <c r="BA230" s="260"/>
    </row>
    <row r="231" spans="48:53" ht="15.75" hidden="1">
      <c r="AV231" s="260">
        <v>187</v>
      </c>
      <c r="BA231" s="260"/>
    </row>
    <row r="232" spans="48:53" ht="15.75" hidden="1">
      <c r="AV232" s="260">
        <v>188</v>
      </c>
      <c r="BA232" s="260"/>
    </row>
    <row r="233" spans="48:53" ht="15.75" hidden="1">
      <c r="AV233" s="260">
        <v>189</v>
      </c>
      <c r="BA233" s="260"/>
    </row>
    <row r="234" spans="48:53" ht="15.75" hidden="1">
      <c r="AV234" s="260">
        <v>190</v>
      </c>
      <c r="BA234" s="260"/>
    </row>
    <row r="235" spans="48:53" ht="15.75" hidden="1">
      <c r="AV235" s="260">
        <v>191</v>
      </c>
      <c r="BA235" s="260"/>
    </row>
    <row r="236" spans="48:53" ht="15.75" hidden="1">
      <c r="AV236" s="260">
        <v>192</v>
      </c>
      <c r="BA236" s="260"/>
    </row>
    <row r="237" spans="48:53" ht="15.75" hidden="1">
      <c r="AV237" s="260">
        <v>193</v>
      </c>
      <c r="BA237" s="260"/>
    </row>
    <row r="238" spans="48:53" ht="15.75" hidden="1">
      <c r="AV238" s="260">
        <v>194</v>
      </c>
      <c r="BA238" s="260"/>
    </row>
    <row r="239" spans="48:53" ht="15.75" hidden="1">
      <c r="AV239" s="260">
        <v>195</v>
      </c>
      <c r="BA239" s="260"/>
    </row>
    <row r="240" spans="48:53" ht="15.75" hidden="1">
      <c r="AV240" s="260">
        <v>196</v>
      </c>
      <c r="BA240" s="260"/>
    </row>
    <row r="241" spans="48:53" ht="15.75" hidden="1">
      <c r="AV241" s="260">
        <v>197</v>
      </c>
      <c r="BA241" s="260"/>
    </row>
    <row r="242" spans="48:53" ht="15.75" hidden="1">
      <c r="AV242" s="260">
        <v>198</v>
      </c>
      <c r="BA242" s="260"/>
    </row>
    <row r="243" spans="48:53" ht="15.75" hidden="1">
      <c r="AV243" s="260">
        <v>199</v>
      </c>
      <c r="BA243" s="260"/>
    </row>
    <row r="244" spans="48:53" ht="15.75" hidden="1">
      <c r="AV244" s="260">
        <v>200</v>
      </c>
      <c r="BA244" s="260"/>
    </row>
    <row r="245" spans="48:53" ht="15.75" hidden="1">
      <c r="AV245" s="260">
        <v>201</v>
      </c>
      <c r="BA245" s="260"/>
    </row>
    <row r="246" spans="48:53" ht="15.75" hidden="1">
      <c r="AV246" s="260">
        <v>202</v>
      </c>
      <c r="BA246" s="260"/>
    </row>
    <row r="247" spans="48:53" ht="15.75" hidden="1">
      <c r="AV247" s="260">
        <v>203</v>
      </c>
      <c r="BA247" s="260"/>
    </row>
    <row r="248" spans="48:53" ht="15.75" hidden="1">
      <c r="AV248" s="260">
        <v>204</v>
      </c>
      <c r="BA248" s="260"/>
    </row>
    <row r="249" spans="48:53" ht="15.75" hidden="1">
      <c r="AV249" s="260">
        <v>205</v>
      </c>
      <c r="BA249" s="260"/>
    </row>
    <row r="250" spans="48:53" ht="15.75" hidden="1">
      <c r="AV250" s="260">
        <v>206</v>
      </c>
      <c r="BA250" s="260"/>
    </row>
    <row r="251" spans="48:53" ht="15.75" hidden="1">
      <c r="AV251" s="260">
        <v>207</v>
      </c>
      <c r="BA251" s="260"/>
    </row>
    <row r="252" spans="48:53" ht="15.75" hidden="1">
      <c r="AV252" s="260">
        <v>208</v>
      </c>
      <c r="BA252" s="260"/>
    </row>
    <row r="253" spans="48:53" ht="15.75" hidden="1">
      <c r="AV253" s="260">
        <v>209</v>
      </c>
      <c r="BA253" s="260"/>
    </row>
    <row r="254" spans="48:53" ht="15.75" hidden="1">
      <c r="AV254" s="260">
        <v>210</v>
      </c>
      <c r="BA254" s="260"/>
    </row>
    <row r="255" spans="48:53" ht="15.75" hidden="1">
      <c r="AV255" s="260">
        <v>211</v>
      </c>
      <c r="BA255" s="260"/>
    </row>
    <row r="256" spans="48:53" ht="15.75" hidden="1">
      <c r="AV256" s="260">
        <v>212</v>
      </c>
      <c r="BA256" s="260"/>
    </row>
    <row r="257" spans="48:53" ht="15.75" hidden="1">
      <c r="AV257" s="260">
        <v>213</v>
      </c>
      <c r="BA257" s="260"/>
    </row>
    <row r="258" spans="48:53" ht="15.75" hidden="1">
      <c r="AV258" s="260">
        <v>214</v>
      </c>
      <c r="BA258" s="260"/>
    </row>
    <row r="259" spans="48:53" ht="15.75" hidden="1">
      <c r="AV259" s="260">
        <v>215</v>
      </c>
      <c r="BA259" s="260"/>
    </row>
    <row r="260" spans="48:53" ht="15.75" hidden="1">
      <c r="AV260" s="260">
        <v>216</v>
      </c>
      <c r="BA260" s="260"/>
    </row>
    <row r="261" spans="48:53" ht="15.75" hidden="1">
      <c r="AV261" s="260">
        <v>217</v>
      </c>
      <c r="BA261" s="260"/>
    </row>
    <row r="262" spans="48:53" ht="15.75" hidden="1">
      <c r="AV262" s="260">
        <v>218</v>
      </c>
      <c r="BA262" s="260"/>
    </row>
    <row r="263" spans="48:53" ht="15.75" hidden="1">
      <c r="AV263" s="260">
        <v>219</v>
      </c>
      <c r="BA263" s="260"/>
    </row>
    <row r="264" spans="48:53" ht="15.75" hidden="1">
      <c r="AV264" s="260">
        <v>220</v>
      </c>
      <c r="BA264" s="260"/>
    </row>
    <row r="265" spans="48:53" ht="15.75" hidden="1">
      <c r="AV265" s="260">
        <v>221</v>
      </c>
      <c r="BA265" s="260"/>
    </row>
    <row r="266" spans="48:53" ht="15.75" hidden="1">
      <c r="AV266" s="260">
        <v>222</v>
      </c>
      <c r="BA266" s="260"/>
    </row>
    <row r="267" spans="48:53" ht="15.75" hidden="1">
      <c r="AV267" s="260">
        <v>223</v>
      </c>
      <c r="BA267" s="260"/>
    </row>
    <row r="268" spans="48:53" ht="15.75" hidden="1">
      <c r="AV268" s="260">
        <v>224</v>
      </c>
      <c r="BA268" s="260"/>
    </row>
    <row r="269" spans="48:53" ht="15.75" hidden="1">
      <c r="AV269" s="260">
        <v>225</v>
      </c>
      <c r="BA269" s="260"/>
    </row>
    <row r="270" spans="48:53" ht="15.75" hidden="1">
      <c r="AV270" s="260">
        <v>226</v>
      </c>
      <c r="BA270" s="260"/>
    </row>
    <row r="271" spans="48:53" ht="15.75" hidden="1">
      <c r="AV271" s="260">
        <v>227</v>
      </c>
      <c r="BA271" s="260"/>
    </row>
    <row r="272" spans="48:53" ht="15.75" hidden="1">
      <c r="AV272" s="260">
        <v>228</v>
      </c>
      <c r="BA272" s="260"/>
    </row>
    <row r="273" spans="48:53" ht="15.75" hidden="1">
      <c r="AV273" s="260">
        <v>229</v>
      </c>
      <c r="BA273" s="260"/>
    </row>
    <row r="274" spans="48:53" ht="15.75" hidden="1">
      <c r="AV274" s="260">
        <v>230</v>
      </c>
      <c r="BA274" s="260"/>
    </row>
    <row r="275" spans="48:53" ht="15.75" hidden="1">
      <c r="AV275" s="260">
        <v>231</v>
      </c>
      <c r="BA275" s="260"/>
    </row>
    <row r="276" spans="48:53" ht="15.75" hidden="1">
      <c r="AV276" s="260">
        <v>232</v>
      </c>
      <c r="BA276" s="260"/>
    </row>
    <row r="277" spans="48:53" ht="15.75" hidden="1">
      <c r="AV277" s="260">
        <v>233</v>
      </c>
      <c r="BA277" s="260"/>
    </row>
    <row r="278" spans="48:53" ht="15.75" hidden="1">
      <c r="AV278" s="260">
        <v>234</v>
      </c>
      <c r="BA278" s="260"/>
    </row>
    <row r="279" spans="48:53" ht="15.75" hidden="1">
      <c r="AV279" s="260">
        <v>235</v>
      </c>
      <c r="BA279" s="260"/>
    </row>
    <row r="280" spans="48:53" ht="15.75" hidden="1">
      <c r="AV280" s="260">
        <v>236</v>
      </c>
      <c r="BA280" s="260"/>
    </row>
    <row r="281" spans="48:53" ht="15.75" hidden="1">
      <c r="AV281" s="260">
        <v>237</v>
      </c>
      <c r="BA281" s="260"/>
    </row>
    <row r="282" spans="48:53" ht="15.75" hidden="1">
      <c r="AV282" s="260">
        <v>238</v>
      </c>
      <c r="BA282" s="260"/>
    </row>
    <row r="283" spans="48:53" ht="15.75" hidden="1">
      <c r="AV283" s="260">
        <v>239</v>
      </c>
      <c r="BA283" s="260"/>
    </row>
    <row r="284" spans="48:53" ht="15.75" hidden="1">
      <c r="AV284" s="260">
        <v>240</v>
      </c>
      <c r="BA284" s="260"/>
    </row>
    <row r="285" spans="48:53" ht="15.75" hidden="1">
      <c r="AV285" s="260">
        <v>241</v>
      </c>
      <c r="BA285" s="260"/>
    </row>
    <row r="286" spans="48:53" ht="15.75" hidden="1">
      <c r="AV286" s="260">
        <v>242</v>
      </c>
      <c r="BA286" s="260"/>
    </row>
    <row r="287" spans="48:53" ht="15.75" hidden="1">
      <c r="AV287" s="260">
        <v>243</v>
      </c>
      <c r="BA287" s="260"/>
    </row>
    <row r="288" spans="48:53" ht="15.75" hidden="1">
      <c r="AV288" s="260">
        <v>244</v>
      </c>
      <c r="BA288" s="260"/>
    </row>
    <row r="289" spans="48:53" ht="15.75" hidden="1">
      <c r="AV289" s="260">
        <v>245</v>
      </c>
      <c r="BA289" s="260"/>
    </row>
    <row r="290" spans="48:53" ht="15.75" hidden="1">
      <c r="AV290" s="260">
        <v>246</v>
      </c>
      <c r="BA290" s="260"/>
    </row>
    <row r="291" spans="48:53" ht="15.75" hidden="1">
      <c r="AV291" s="260">
        <v>247</v>
      </c>
      <c r="BA291" s="260"/>
    </row>
    <row r="292" spans="48:53" ht="15.75" hidden="1">
      <c r="AV292" s="260">
        <v>248</v>
      </c>
      <c r="BA292" s="260"/>
    </row>
    <row r="293" spans="48:53" ht="15.75" hidden="1">
      <c r="AV293" s="260">
        <v>249</v>
      </c>
      <c r="BA293" s="260"/>
    </row>
    <row r="294" spans="48:53" ht="15.75" hidden="1">
      <c r="AV294" s="260">
        <v>250</v>
      </c>
      <c r="BA294" s="260"/>
    </row>
    <row r="295" spans="48:53" ht="15.75" hidden="1">
      <c r="AV295" s="260">
        <v>251</v>
      </c>
      <c r="BA295" s="260"/>
    </row>
    <row r="296" spans="48:53" ht="15.75" hidden="1">
      <c r="AV296" s="260">
        <v>252</v>
      </c>
      <c r="BA296" s="260"/>
    </row>
    <row r="297" spans="48:53" ht="15.75" hidden="1">
      <c r="AV297" s="260">
        <v>253</v>
      </c>
      <c r="BA297" s="260"/>
    </row>
    <row r="298" spans="48:53" ht="15.75" hidden="1">
      <c r="AV298" s="260">
        <v>254</v>
      </c>
      <c r="BA298" s="260"/>
    </row>
    <row r="299" spans="48:53" ht="15.75" hidden="1">
      <c r="AV299" s="260">
        <v>255</v>
      </c>
      <c r="BA299" s="260"/>
    </row>
    <row r="300" spans="48:53" ht="15.75" hidden="1">
      <c r="AV300" s="260">
        <v>256</v>
      </c>
      <c r="BA300" s="260"/>
    </row>
    <row r="301" spans="48:53" ht="15.75" hidden="1">
      <c r="AV301" s="260">
        <v>257</v>
      </c>
      <c r="BA301" s="260"/>
    </row>
    <row r="302" spans="48:53" ht="15.75" hidden="1">
      <c r="AV302" s="260">
        <v>258</v>
      </c>
      <c r="BA302" s="260"/>
    </row>
    <row r="303" spans="48:53" ht="15.75" hidden="1">
      <c r="AV303" s="260">
        <v>259</v>
      </c>
      <c r="BA303" s="260"/>
    </row>
    <row r="304" spans="48:53" ht="15.75" hidden="1">
      <c r="AV304" s="260">
        <v>260</v>
      </c>
      <c r="BA304" s="260"/>
    </row>
    <row r="305" spans="48:53" ht="15.75" hidden="1">
      <c r="AV305" s="260">
        <v>261</v>
      </c>
      <c r="BA305" s="260"/>
    </row>
    <row r="306" spans="48:53" ht="15.75" hidden="1">
      <c r="AV306" s="260">
        <v>262</v>
      </c>
      <c r="BA306" s="260"/>
    </row>
    <row r="307" spans="48:53" ht="15.75" hidden="1">
      <c r="AV307" s="260">
        <v>263</v>
      </c>
      <c r="BA307" s="260"/>
    </row>
    <row r="308" spans="48:53" ht="15.75" hidden="1">
      <c r="AV308" s="260">
        <v>264</v>
      </c>
      <c r="BA308" s="260"/>
    </row>
    <row r="309" spans="48:53" ht="15.75" hidden="1">
      <c r="AV309" s="260">
        <v>265</v>
      </c>
      <c r="BA309" s="260"/>
    </row>
    <row r="310" spans="48:53" ht="15.75" hidden="1">
      <c r="AV310" s="260">
        <v>266</v>
      </c>
      <c r="BA310" s="260"/>
    </row>
    <row r="311" spans="48:53" ht="15.75" hidden="1">
      <c r="AV311" s="260">
        <v>267</v>
      </c>
      <c r="BA311" s="260"/>
    </row>
    <row r="312" spans="48:53" ht="15.75" hidden="1">
      <c r="AV312" s="260">
        <v>268</v>
      </c>
      <c r="BA312" s="260"/>
    </row>
    <row r="313" spans="48:53" ht="15.75" hidden="1">
      <c r="AV313" s="260">
        <v>269</v>
      </c>
      <c r="BA313" s="260"/>
    </row>
    <row r="314" spans="48:53" ht="15.75" hidden="1">
      <c r="AV314" s="260">
        <v>270</v>
      </c>
      <c r="BA314" s="260"/>
    </row>
    <row r="315" spans="48:53" ht="15.75" hidden="1">
      <c r="AV315" s="260">
        <v>271</v>
      </c>
      <c r="BA315" s="260"/>
    </row>
    <row r="316" spans="48:53" ht="15.75" hidden="1">
      <c r="AV316" s="260">
        <v>272</v>
      </c>
      <c r="BA316" s="260"/>
    </row>
    <row r="317" spans="48:53" ht="15.75" hidden="1">
      <c r="AV317" s="260">
        <v>273</v>
      </c>
      <c r="BA317" s="260"/>
    </row>
    <row r="318" spans="48:53" ht="15.75" hidden="1">
      <c r="AV318" s="260">
        <v>274</v>
      </c>
      <c r="BA318" s="260"/>
    </row>
    <row r="319" spans="48:53" ht="15.75" hidden="1">
      <c r="AV319" s="260">
        <v>275</v>
      </c>
      <c r="BA319" s="260"/>
    </row>
    <row r="320" spans="48:53" ht="15.75" hidden="1">
      <c r="AV320" s="260">
        <v>276</v>
      </c>
      <c r="BA320" s="260"/>
    </row>
    <row r="321" spans="48:53" ht="15.75" hidden="1">
      <c r="AV321" s="260">
        <v>277</v>
      </c>
      <c r="BA321" s="260"/>
    </row>
    <row r="322" spans="48:53" ht="15.75" hidden="1">
      <c r="AV322" s="260">
        <v>278</v>
      </c>
      <c r="BA322" s="260"/>
    </row>
    <row r="323" spans="48:53" ht="15.75" hidden="1">
      <c r="AV323" s="260">
        <v>279</v>
      </c>
      <c r="BA323" s="260"/>
    </row>
    <row r="324" spans="48:53" ht="15.75" hidden="1">
      <c r="AV324" s="260">
        <v>280</v>
      </c>
      <c r="BA324" s="260"/>
    </row>
    <row r="325" spans="48:53" ht="15.75" hidden="1">
      <c r="AV325" s="260">
        <v>281</v>
      </c>
      <c r="BA325" s="260"/>
    </row>
    <row r="326" spans="48:53" ht="15.75" hidden="1">
      <c r="AV326" s="260">
        <v>282</v>
      </c>
      <c r="BA326" s="260"/>
    </row>
    <row r="327" spans="48:53" ht="15.75" hidden="1">
      <c r="AV327" s="260">
        <v>283</v>
      </c>
      <c r="BA327" s="260"/>
    </row>
    <row r="328" spans="48:53" ht="15.75" hidden="1">
      <c r="AV328" s="260">
        <v>284</v>
      </c>
      <c r="BA328" s="260"/>
    </row>
    <row r="329" spans="48:53" ht="15.75" hidden="1">
      <c r="AV329" s="260">
        <v>285</v>
      </c>
      <c r="BA329" s="260"/>
    </row>
    <row r="330" spans="48:53" ht="15.75" hidden="1">
      <c r="AV330" s="260">
        <v>286</v>
      </c>
      <c r="BA330" s="260"/>
    </row>
    <row r="331" spans="48:53" ht="15.75" hidden="1">
      <c r="AV331" s="260">
        <v>287</v>
      </c>
      <c r="BA331" s="260"/>
    </row>
    <row r="332" spans="48:53" ht="15.75" hidden="1">
      <c r="AV332" s="260">
        <v>288</v>
      </c>
      <c r="BA332" s="260"/>
    </row>
    <row r="333" spans="48:53" ht="15.75" hidden="1">
      <c r="AV333" s="260">
        <v>289</v>
      </c>
      <c r="BA333" s="260"/>
    </row>
    <row r="334" spans="48:53" ht="15.75" hidden="1">
      <c r="AV334" s="260">
        <v>290</v>
      </c>
      <c r="BA334" s="260"/>
    </row>
    <row r="335" spans="48:53" ht="15.75" hidden="1">
      <c r="AV335" s="260">
        <v>291</v>
      </c>
      <c r="BA335" s="260"/>
    </row>
    <row r="336" spans="48:53" ht="15.75" hidden="1">
      <c r="AV336" s="260">
        <v>292</v>
      </c>
      <c r="BA336" s="260"/>
    </row>
    <row r="337" spans="48:53" ht="15.75" hidden="1">
      <c r="AV337" s="260">
        <v>293</v>
      </c>
      <c r="BA337" s="260"/>
    </row>
    <row r="338" spans="48:53" ht="15.75" hidden="1">
      <c r="AV338" s="260">
        <v>294</v>
      </c>
      <c r="BA338" s="260"/>
    </row>
    <row r="339" spans="48:53" ht="15.75" hidden="1">
      <c r="AV339" s="260">
        <v>295</v>
      </c>
      <c r="BA339" s="260"/>
    </row>
    <row r="340" spans="48:53" ht="15.75" hidden="1">
      <c r="AV340" s="260">
        <v>296</v>
      </c>
      <c r="BA340" s="260"/>
    </row>
    <row r="341" spans="48:53" ht="15.75" hidden="1">
      <c r="AV341" s="260">
        <v>297</v>
      </c>
      <c r="BA341" s="260"/>
    </row>
    <row r="342" spans="48:53" ht="15.75" hidden="1">
      <c r="AV342" s="260">
        <v>298</v>
      </c>
      <c r="BA342" s="260"/>
    </row>
    <row r="343" spans="48:53" ht="15.75" hidden="1">
      <c r="AV343" s="260">
        <v>299</v>
      </c>
      <c r="BA343" s="260"/>
    </row>
    <row r="344" spans="48:53" ht="15.75" hidden="1">
      <c r="AV344" s="260">
        <v>300</v>
      </c>
      <c r="BA344" s="260"/>
    </row>
  </sheetData>
  <sheetProtection password="E8FA" sheet="1" objects="1" scenarios="1" formatCells="0" formatColumns="0" formatRows="0" selectLockedCells="1"/>
  <mergeCells count="112">
    <mergeCell ref="L38:R38"/>
    <mergeCell ref="B39:AU39"/>
    <mergeCell ref="B26:D26"/>
    <mergeCell ref="E26:G26"/>
    <mergeCell ref="H26:J26"/>
    <mergeCell ref="B27:D27"/>
    <mergeCell ref="E27:G27"/>
    <mergeCell ref="H27:J27"/>
    <mergeCell ref="AQ12:AT38"/>
    <mergeCell ref="B19:D19"/>
    <mergeCell ref="E19:G19"/>
    <mergeCell ref="H19:J19"/>
    <mergeCell ref="B20:D20"/>
    <mergeCell ref="E20:G20"/>
    <mergeCell ref="H20:J20"/>
    <mergeCell ref="B21:D21"/>
    <mergeCell ref="B17:J18"/>
    <mergeCell ref="B14:J16"/>
    <mergeCell ref="E21:G21"/>
    <mergeCell ref="H21:J21"/>
    <mergeCell ref="B23:D23"/>
    <mergeCell ref="E23:G23"/>
    <mergeCell ref="H23:J23"/>
    <mergeCell ref="B22:D22"/>
    <mergeCell ref="E22:G22"/>
    <mergeCell ref="H22:J22"/>
    <mergeCell ref="B24:D24"/>
    <mergeCell ref="E24:G24"/>
    <mergeCell ref="H24:J24"/>
    <mergeCell ref="B25:D25"/>
    <mergeCell ref="E25:G25"/>
    <mergeCell ref="H25:J25"/>
    <mergeCell ref="BB4:BC4"/>
    <mergeCell ref="AS7:AS8"/>
    <mergeCell ref="AT7:AT8"/>
    <mergeCell ref="AO4:AP5"/>
    <mergeCell ref="AQ9:AQ10"/>
    <mergeCell ref="AR9:AR10"/>
    <mergeCell ref="AS9:AS10"/>
    <mergeCell ref="AT9:AT10"/>
    <mergeCell ref="AQ11:AT11"/>
    <mergeCell ref="S5:X5"/>
    <mergeCell ref="AI5:AL5"/>
    <mergeCell ref="AQ7:AQ8"/>
    <mergeCell ref="AR7:AR8"/>
    <mergeCell ref="AM4:AM5"/>
    <mergeCell ref="AN4:AN5"/>
    <mergeCell ref="AQ4:AT5"/>
    <mergeCell ref="AW4:AX4"/>
    <mergeCell ref="AY4:AZ4"/>
    <mergeCell ref="BD4:BE4"/>
    <mergeCell ref="Y5:AB5"/>
    <mergeCell ref="AC5:AH5"/>
    <mergeCell ref="A1:AU1"/>
    <mergeCell ref="A2:A39"/>
    <mergeCell ref="B2:AT2"/>
    <mergeCell ref="AU2:AU38"/>
    <mergeCell ref="B3:J3"/>
    <mergeCell ref="L3:AL3"/>
    <mergeCell ref="AM3:AQ3"/>
    <mergeCell ref="AR3:AT3"/>
    <mergeCell ref="AC4:AL4"/>
    <mergeCell ref="F4:F8"/>
    <mergeCell ref="G4:G8"/>
    <mergeCell ref="H4:H8"/>
    <mergeCell ref="L4:L6"/>
    <mergeCell ref="M4:M6"/>
    <mergeCell ref="N4:N6"/>
    <mergeCell ref="O4:O6"/>
    <mergeCell ref="P4:P6"/>
    <mergeCell ref="Q4:Q6"/>
    <mergeCell ref="R4:R6"/>
    <mergeCell ref="S4:AB4"/>
    <mergeCell ref="D5:D8"/>
    <mergeCell ref="B4:C8"/>
    <mergeCell ref="B9:C9"/>
    <mergeCell ref="B10:C11"/>
    <mergeCell ref="B12:C13"/>
    <mergeCell ref="J10:J11"/>
    <mergeCell ref="H10:H11"/>
    <mergeCell ref="G10:G11"/>
    <mergeCell ref="F10:F11"/>
    <mergeCell ref="E10:E11"/>
    <mergeCell ref="D10:D11"/>
    <mergeCell ref="J12:J13"/>
    <mergeCell ref="H12:H13"/>
    <mergeCell ref="G12:G13"/>
    <mergeCell ref="F12:F13"/>
    <mergeCell ref="E12:E13"/>
    <mergeCell ref="D12:D13"/>
    <mergeCell ref="E5:E8"/>
    <mergeCell ref="J5:J8"/>
    <mergeCell ref="BI35:BI37"/>
    <mergeCell ref="BJ7:BJ13"/>
    <mergeCell ref="BK7:BK13"/>
    <mergeCell ref="BL7:BL13"/>
    <mergeCell ref="BJ14:BJ20"/>
    <mergeCell ref="BK14:BK20"/>
    <mergeCell ref="BL14:BL20"/>
    <mergeCell ref="BJ21:BJ27"/>
    <mergeCell ref="BK21:BK27"/>
    <mergeCell ref="BL21:BL27"/>
    <mergeCell ref="BJ28:BJ34"/>
    <mergeCell ref="BK28:BK34"/>
    <mergeCell ref="BL28:BL34"/>
    <mergeCell ref="BJ35:BJ37"/>
    <mergeCell ref="BK35:BK37"/>
    <mergeCell ref="BL35:BL37"/>
    <mergeCell ref="BI7:BI13"/>
    <mergeCell ref="BI14:BI20"/>
    <mergeCell ref="BI21:BI27"/>
    <mergeCell ref="BI28:BI34"/>
  </mergeCells>
  <conditionalFormatting sqref="Q7:Q37 S7:AP37">
    <cfRule type="cellIs" dxfId="22" priority="9" operator="equal">
      <formula>0</formula>
    </cfRule>
  </conditionalFormatting>
  <conditionalFormatting sqref="L7:AP37">
    <cfRule type="expression" dxfId="21" priority="5">
      <formula>$R7="M"</formula>
    </cfRule>
    <cfRule type="expression" dxfId="20" priority="8">
      <formula>$P7="Holiday"</formula>
    </cfRule>
  </conditionalFormatting>
  <conditionalFormatting sqref="AV38 AW7:AZ37 BB7:BE37">
    <cfRule type="cellIs" dxfId="19" priority="7" operator="greaterThan">
      <formula>0</formula>
    </cfRule>
  </conditionalFormatting>
  <conditionalFormatting sqref="I10:I13 D10:H10 D12:H12 J12 J10">
    <cfRule type="cellIs" dxfId="18" priority="6" operator="equal">
      <formula>0</formula>
    </cfRule>
  </conditionalFormatting>
  <conditionalFormatting sqref="S7:AB7 X8:X37 AB8:AB37">
    <cfRule type="expression" dxfId="17" priority="3">
      <formula>$P7="Holiday"</formula>
    </cfRule>
  </conditionalFormatting>
  <conditionalFormatting sqref="AO7:AP37">
    <cfRule type="expression" dxfId="16" priority="1">
      <formula>$P7="Holiday"</formula>
    </cfRule>
  </conditionalFormatting>
  <dataValidations count="2">
    <dataValidation type="list" allowBlank="1" showInputMessage="1" showErrorMessage="1" sqref="O7:O37">
      <formula1>$AV$3:$AV$43</formula1>
    </dataValidation>
    <dataValidation type="list" allowBlank="1" showInputMessage="1" showErrorMessage="1" sqref="Q7:Q37">
      <formula1>$H$20:$H$27</formula1>
    </dataValidation>
  </dataValidations>
  <pageMargins left="0.45" right="0.19" top="0.21" bottom="0.18" header="0.19" footer="0.16"/>
  <pageSetup scale="7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tabColor rgb="FFFFFF00"/>
  </sheetPr>
  <dimension ref="A1:X67"/>
  <sheetViews>
    <sheetView showGridLines="0" workbookViewId="0">
      <selection activeCell="H20" sqref="H20"/>
    </sheetView>
  </sheetViews>
  <sheetFormatPr defaultColWidth="0" defaultRowHeight="15" zeroHeight="1"/>
  <cols>
    <col min="1" max="1" width="1.42578125" style="18" customWidth="1"/>
    <col min="2" max="5" width="8.85546875" style="55" customWidth="1"/>
    <col min="6" max="6" width="11.28515625" style="55" customWidth="1"/>
    <col min="7" max="7" width="7.7109375" style="55" customWidth="1"/>
    <col min="8" max="8" width="9.28515625" style="55" customWidth="1"/>
    <col min="9" max="9" width="13.42578125" style="55" customWidth="1"/>
    <col min="10" max="10" width="8.28515625" style="55" customWidth="1"/>
    <col min="11" max="11" width="9.28515625" style="55" customWidth="1"/>
    <col min="12" max="12" width="9.85546875" style="55" customWidth="1"/>
    <col min="13" max="14" width="8.85546875" style="55" customWidth="1"/>
    <col min="15" max="15" width="7.7109375" style="55" customWidth="1"/>
    <col min="16" max="16" width="2.28515625" style="55" customWidth="1"/>
    <col min="17" max="17" width="49.28515625" style="55" customWidth="1"/>
    <col min="18" max="18" width="3.42578125" style="18" customWidth="1"/>
    <col min="19" max="24" width="0" style="18" hidden="1" customWidth="1"/>
    <col min="25" max="16384" width="3.42578125" style="18" hidden="1"/>
  </cols>
  <sheetData>
    <row r="1" spans="1:17" ht="8.25" customHeight="1" thickBot="1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</row>
    <row r="2" spans="1:17" ht="24" customHeight="1">
      <c r="A2" s="887"/>
      <c r="B2" s="906" t="s">
        <v>0</v>
      </c>
      <c r="C2" s="907"/>
      <c r="D2" s="907"/>
      <c r="E2" s="917" t="str">
        <f>'Food-Data Entry'!AM3</f>
        <v>December-2022</v>
      </c>
      <c r="F2" s="917"/>
      <c r="G2" s="918" t="str">
        <f>CONCATENATE('School Info'!$B$4,'School Info'!$D$4)</f>
        <v>dk;kZy;%jktdh; mPp ek/;fed fo|ky; jk;eyok³k ¼ckfi.kh½] tks/kiqj</v>
      </c>
      <c r="H2" s="918"/>
      <c r="I2" s="918"/>
      <c r="J2" s="918"/>
      <c r="K2" s="918"/>
      <c r="L2" s="918"/>
      <c r="M2" s="918"/>
      <c r="N2" s="918"/>
      <c r="O2" s="919"/>
      <c r="P2" s="19"/>
      <c r="Q2" s="711" t="str">
        <f>'School Info'!B2</f>
        <v>Prepared By:-  Mr. Ummeda Ram (Teacher,GSSS Raimalwada) Mob.No-9166973141</v>
      </c>
    </row>
    <row r="3" spans="1:17" ht="15" customHeight="1">
      <c r="A3" s="887"/>
      <c r="B3" s="888" t="s">
        <v>1</v>
      </c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9"/>
      <c r="O3" s="890"/>
      <c r="P3" s="19"/>
      <c r="Q3" s="712"/>
    </row>
    <row r="4" spans="1:17" ht="15" customHeight="1">
      <c r="A4" s="887"/>
      <c r="B4" s="891" t="s">
        <v>2</v>
      </c>
      <c r="C4" s="892"/>
      <c r="D4" s="893" t="str">
        <f>'School Info'!$D$6</f>
        <v>081511106901</v>
      </c>
      <c r="E4" s="894"/>
      <c r="F4" s="894"/>
      <c r="G4" s="895" t="s">
        <v>3</v>
      </c>
      <c r="H4" s="896"/>
      <c r="I4" s="896"/>
      <c r="J4" s="896"/>
      <c r="K4" s="897"/>
      <c r="L4" s="898" t="str">
        <f>'School Info'!$D$4</f>
        <v>jktdh; mPp ek/;fed fo|ky; jk;eyok³k ¼ckfi.kh½] tks/kiqj</v>
      </c>
      <c r="M4" s="899"/>
      <c r="N4" s="899"/>
      <c r="O4" s="900"/>
      <c r="P4" s="19"/>
      <c r="Q4" s="712"/>
    </row>
    <row r="5" spans="1:17" ht="15" customHeight="1">
      <c r="A5" s="887"/>
      <c r="B5" s="891" t="s">
        <v>4</v>
      </c>
      <c r="C5" s="892"/>
      <c r="D5" s="901" t="str">
        <f>'School Info'!$D$7</f>
        <v>Rural</v>
      </c>
      <c r="E5" s="902"/>
      <c r="F5" s="902"/>
      <c r="G5" s="895" t="s">
        <v>6</v>
      </c>
      <c r="H5" s="896"/>
      <c r="I5" s="896"/>
      <c r="J5" s="896"/>
      <c r="K5" s="897"/>
      <c r="L5" s="903" t="str">
        <f>'School Info'!$I$7</f>
        <v>Sr.Sec.(I to XII)</v>
      </c>
      <c r="M5" s="904"/>
      <c r="N5" s="904"/>
      <c r="O5" s="905"/>
      <c r="P5" s="19"/>
      <c r="Q5" s="712"/>
    </row>
    <row r="6" spans="1:17" ht="15" customHeight="1">
      <c r="A6" s="887"/>
      <c r="B6" s="891" t="s">
        <v>7</v>
      </c>
      <c r="C6" s="892"/>
      <c r="D6" s="901" t="s">
        <v>8</v>
      </c>
      <c r="E6" s="902"/>
      <c r="F6" s="902"/>
      <c r="G6" s="895" t="s">
        <v>9</v>
      </c>
      <c r="H6" s="896"/>
      <c r="I6" s="896"/>
      <c r="J6" s="896"/>
      <c r="K6" s="897"/>
      <c r="L6" s="903" t="str">
        <f>'School Info'!$D$8</f>
        <v>JODHPUR</v>
      </c>
      <c r="M6" s="904"/>
      <c r="N6" s="904"/>
      <c r="O6" s="905"/>
      <c r="P6" s="19"/>
      <c r="Q6" s="712"/>
    </row>
    <row r="7" spans="1:17" ht="15" customHeight="1">
      <c r="A7" s="887"/>
      <c r="B7" s="891" t="s">
        <v>11</v>
      </c>
      <c r="C7" s="892"/>
      <c r="D7" s="901" t="str">
        <f>'School Info'!$D$9</f>
        <v>Raimalwada</v>
      </c>
      <c r="E7" s="902"/>
      <c r="F7" s="902"/>
      <c r="G7" s="895" t="s">
        <v>12</v>
      </c>
      <c r="H7" s="896"/>
      <c r="I7" s="896"/>
      <c r="J7" s="896"/>
      <c r="K7" s="897"/>
      <c r="L7" s="903" t="str">
        <f>'School Info'!$I$8</f>
        <v>Bapini</v>
      </c>
      <c r="M7" s="904"/>
      <c r="N7" s="904"/>
      <c r="O7" s="905"/>
      <c r="P7" s="19"/>
      <c r="Q7" s="712"/>
    </row>
    <row r="8" spans="1:17" ht="15" customHeight="1">
      <c r="A8" s="887"/>
      <c r="B8" s="891" t="s">
        <v>13</v>
      </c>
      <c r="C8" s="892"/>
      <c r="D8" s="928">
        <f>'School Info'!$I$11</f>
        <v>0</v>
      </c>
      <c r="E8" s="929"/>
      <c r="F8" s="929"/>
      <c r="G8" s="895" t="s">
        <v>14</v>
      </c>
      <c r="H8" s="896"/>
      <c r="I8" s="896"/>
      <c r="J8" s="896"/>
      <c r="K8" s="897"/>
      <c r="L8" s="849">
        <f>'School Info'!$D$12</f>
        <v>0</v>
      </c>
      <c r="M8" s="904"/>
      <c r="N8" s="904"/>
      <c r="O8" s="905"/>
      <c r="P8" s="19"/>
      <c r="Q8" s="712"/>
    </row>
    <row r="9" spans="1:17" ht="15" customHeight="1">
      <c r="A9" s="887"/>
      <c r="B9" s="920" t="s">
        <v>15</v>
      </c>
      <c r="C9" s="1" t="s">
        <v>16</v>
      </c>
      <c r="D9" s="921">
        <f>'School Info'!P12</f>
        <v>53</v>
      </c>
      <c r="E9" s="922"/>
      <c r="F9" s="923"/>
      <c r="G9" s="924" t="s">
        <v>17</v>
      </c>
      <c r="H9" s="924"/>
      <c r="I9" s="924"/>
      <c r="J9" s="924"/>
      <c r="K9" s="924"/>
      <c r="L9" s="925">
        <f>'School Info'!D13</f>
        <v>0</v>
      </c>
      <c r="M9" s="926"/>
      <c r="N9" s="926"/>
      <c r="O9" s="927"/>
      <c r="P9" s="19"/>
      <c r="Q9" s="916"/>
    </row>
    <row r="10" spans="1:17" ht="15" customHeight="1">
      <c r="A10" s="887"/>
      <c r="B10" s="920"/>
      <c r="C10" s="2" t="s">
        <v>18</v>
      </c>
      <c r="D10" s="921">
        <f>'School Info'!P16</f>
        <v>53</v>
      </c>
      <c r="E10" s="922"/>
      <c r="F10" s="923"/>
      <c r="G10" s="913" t="s">
        <v>19</v>
      </c>
      <c r="H10" s="914"/>
      <c r="I10" s="914"/>
      <c r="J10" s="914"/>
      <c r="K10" s="915"/>
      <c r="L10" s="930">
        <f>'School Info'!I13</f>
        <v>0</v>
      </c>
      <c r="M10" s="931"/>
      <c r="N10" s="931"/>
      <c r="O10" s="932"/>
      <c r="P10" s="19"/>
      <c r="Q10" s="916"/>
    </row>
    <row r="11" spans="1:17" ht="15" customHeight="1">
      <c r="A11" s="887"/>
      <c r="B11" s="908" t="s">
        <v>20</v>
      </c>
      <c r="C11" s="909"/>
      <c r="D11" s="909"/>
      <c r="E11" s="909"/>
      <c r="F11" s="910" t="str">
        <f>E2</f>
        <v>December-2022</v>
      </c>
      <c r="G11" s="910"/>
      <c r="H11" s="911" t="s">
        <v>21</v>
      </c>
      <c r="I11" s="911"/>
      <c r="J11" s="911"/>
      <c r="K11" s="911"/>
      <c r="L11" s="911"/>
      <c r="M11" s="911"/>
      <c r="N11" s="911"/>
      <c r="O11" s="912"/>
      <c r="P11" s="19"/>
      <c r="Q11" s="916"/>
    </row>
    <row r="12" spans="1:17" ht="15.75" customHeight="1">
      <c r="A12" s="887"/>
      <c r="B12" s="881" t="s">
        <v>22</v>
      </c>
      <c r="C12" s="882"/>
      <c r="D12" s="854" t="s">
        <v>23</v>
      </c>
      <c r="E12" s="854" t="s">
        <v>24</v>
      </c>
      <c r="F12" s="854" t="s">
        <v>203</v>
      </c>
      <c r="G12" s="854" t="s">
        <v>204</v>
      </c>
      <c r="H12" s="854" t="s">
        <v>208</v>
      </c>
      <c r="I12" s="862" t="s">
        <v>25</v>
      </c>
      <c r="J12" s="863"/>
      <c r="K12" s="854" t="s">
        <v>23</v>
      </c>
      <c r="L12" s="854" t="s">
        <v>207</v>
      </c>
      <c r="M12" s="854" t="s">
        <v>203</v>
      </c>
      <c r="N12" s="854" t="s">
        <v>204</v>
      </c>
      <c r="O12" s="854" t="s">
        <v>209</v>
      </c>
      <c r="P12" s="19"/>
      <c r="Q12" s="916"/>
    </row>
    <row r="13" spans="1:17" ht="14.25" customHeight="1">
      <c r="A13" s="887"/>
      <c r="B13" s="883"/>
      <c r="C13" s="884"/>
      <c r="D13" s="855"/>
      <c r="E13" s="855"/>
      <c r="F13" s="855"/>
      <c r="G13" s="855"/>
      <c r="H13" s="855"/>
      <c r="I13" s="864"/>
      <c r="J13" s="865"/>
      <c r="K13" s="855"/>
      <c r="L13" s="855"/>
      <c r="M13" s="855"/>
      <c r="N13" s="855"/>
      <c r="O13" s="855"/>
      <c r="P13" s="19"/>
      <c r="Q13" s="916"/>
    </row>
    <row r="14" spans="1:17" ht="15" customHeight="1">
      <c r="A14" s="887"/>
      <c r="B14" s="885">
        <v>1</v>
      </c>
      <c r="C14" s="886"/>
      <c r="D14" s="33">
        <v>2</v>
      </c>
      <c r="E14" s="33">
        <v>3</v>
      </c>
      <c r="F14" s="33">
        <v>4</v>
      </c>
      <c r="G14" s="33">
        <v>5</v>
      </c>
      <c r="H14" s="33">
        <v>6</v>
      </c>
      <c r="I14" s="847">
        <v>7</v>
      </c>
      <c r="J14" s="848"/>
      <c r="K14" s="33">
        <v>8</v>
      </c>
      <c r="L14" s="33">
        <v>9</v>
      </c>
      <c r="M14" s="33">
        <v>10</v>
      </c>
      <c r="N14" s="33">
        <v>11</v>
      </c>
      <c r="O14" s="33">
        <v>12</v>
      </c>
      <c r="P14" s="19"/>
      <c r="Q14" s="916"/>
    </row>
    <row r="15" spans="1:17" ht="15.75" customHeight="1">
      <c r="A15" s="887"/>
      <c r="B15" s="754">
        <f>'Food-Data Entry'!Z38</f>
        <v>0</v>
      </c>
      <c r="C15" s="755"/>
      <c r="D15" s="13">
        <f>'School Info'!E15</f>
        <v>5.45</v>
      </c>
      <c r="E15" s="48">
        <f>ROUND(B15*D15,10)</f>
        <v>0</v>
      </c>
      <c r="F15" s="34">
        <f>'MIlk-Data Entry'!AH38</f>
        <v>11</v>
      </c>
      <c r="G15" s="47">
        <f>'School Info'!$E$21</f>
        <v>0.378</v>
      </c>
      <c r="H15" s="48">
        <f>F15*G15</f>
        <v>4.1580000000000004</v>
      </c>
      <c r="I15" s="758">
        <f>'Food-Data Entry'!AC38</f>
        <v>0</v>
      </c>
      <c r="J15" s="755"/>
      <c r="K15" s="13">
        <f>'School Info'!E16</f>
        <v>8.17</v>
      </c>
      <c r="L15" s="48">
        <f>ROUND(I15*K15,10)</f>
        <v>0</v>
      </c>
      <c r="M15" s="34">
        <f>'MIlk-Data Entry'!AL38</f>
        <v>9</v>
      </c>
      <c r="N15" s="47">
        <f>'School Info'!$E$22</f>
        <v>0.45900000000000002</v>
      </c>
      <c r="O15" s="48">
        <f>M15*N15</f>
        <v>4.1310000000000002</v>
      </c>
      <c r="P15" s="19"/>
      <c r="Q15" s="916"/>
    </row>
    <row r="16" spans="1:17" ht="12.75" customHeight="1">
      <c r="A16" s="887"/>
      <c r="B16" s="754"/>
      <c r="C16" s="759"/>
      <c r="D16" s="759"/>
      <c r="E16" s="759"/>
      <c r="F16" s="759"/>
      <c r="G16" s="759"/>
      <c r="H16" s="759"/>
      <c r="I16" s="759"/>
      <c r="J16" s="759"/>
      <c r="K16" s="759"/>
      <c r="L16" s="759"/>
      <c r="M16" s="759"/>
      <c r="N16" s="759"/>
      <c r="O16" s="759"/>
      <c r="P16" s="19"/>
      <c r="Q16" s="916"/>
    </row>
    <row r="17" spans="1:17" ht="13.5" customHeight="1">
      <c r="A17" s="887"/>
      <c r="B17" s="881" t="s">
        <v>42</v>
      </c>
      <c r="C17" s="882"/>
      <c r="D17" s="843" t="s">
        <v>210</v>
      </c>
      <c r="E17" s="844"/>
      <c r="F17" s="843" t="s">
        <v>211</v>
      </c>
      <c r="G17" s="844"/>
      <c r="H17" s="854" t="s">
        <v>212</v>
      </c>
      <c r="I17" s="862" t="s">
        <v>213</v>
      </c>
      <c r="J17" s="863"/>
      <c r="K17" s="843" t="s">
        <v>214</v>
      </c>
      <c r="L17" s="851"/>
      <c r="M17" s="844"/>
      <c r="N17" s="843" t="s">
        <v>26</v>
      </c>
      <c r="O17" s="844"/>
      <c r="P17" s="19"/>
      <c r="Q17" s="916"/>
    </row>
    <row r="18" spans="1:17" ht="13.5" customHeight="1">
      <c r="A18" s="887"/>
      <c r="B18" s="883"/>
      <c r="C18" s="884"/>
      <c r="D18" s="845"/>
      <c r="E18" s="846"/>
      <c r="F18" s="845"/>
      <c r="G18" s="846"/>
      <c r="H18" s="855"/>
      <c r="I18" s="864"/>
      <c r="J18" s="865"/>
      <c r="K18" s="845"/>
      <c r="L18" s="852"/>
      <c r="M18" s="846"/>
      <c r="N18" s="845"/>
      <c r="O18" s="846"/>
      <c r="P18" s="19"/>
      <c r="Q18" s="916"/>
    </row>
    <row r="19" spans="1:17" ht="13.5" customHeight="1">
      <c r="A19" s="887"/>
      <c r="B19" s="885">
        <v>13</v>
      </c>
      <c r="C19" s="886"/>
      <c r="D19" s="847">
        <v>14</v>
      </c>
      <c r="E19" s="848"/>
      <c r="F19" s="847">
        <v>15</v>
      </c>
      <c r="G19" s="848"/>
      <c r="H19" s="33">
        <v>16</v>
      </c>
      <c r="I19" s="847">
        <v>17</v>
      </c>
      <c r="J19" s="848"/>
      <c r="K19" s="847">
        <v>18</v>
      </c>
      <c r="L19" s="853"/>
      <c r="M19" s="848"/>
      <c r="N19" s="847">
        <v>19</v>
      </c>
      <c r="O19" s="848"/>
      <c r="P19" s="19"/>
      <c r="Q19" s="916"/>
    </row>
    <row r="20" spans="1:17" ht="15.75" customHeight="1">
      <c r="A20" s="887"/>
      <c r="B20" s="754">
        <f>MAX('School Info'!F18:F23)</f>
        <v>3</v>
      </c>
      <c r="C20" s="755"/>
      <c r="D20" s="841">
        <f>'School Info'!K15</f>
        <v>1742</v>
      </c>
      <c r="E20" s="842"/>
      <c r="F20" s="849">
        <f>ROUND(B20*D20,10)</f>
        <v>5226</v>
      </c>
      <c r="G20" s="850"/>
      <c r="H20" s="130"/>
      <c r="I20" s="756"/>
      <c r="J20" s="757"/>
      <c r="K20" s="868">
        <f>E15+H15+L15+O15+F20+H20+I20</f>
        <v>5234.2889999999998</v>
      </c>
      <c r="L20" s="869"/>
      <c r="M20" s="870"/>
      <c r="N20" s="866">
        <f>K20</f>
        <v>5234.2889999999998</v>
      </c>
      <c r="O20" s="867"/>
      <c r="P20" s="19"/>
      <c r="Q20" s="916"/>
    </row>
    <row r="21" spans="1:17" ht="9.75" customHeight="1">
      <c r="A21" s="887"/>
      <c r="B21" s="754"/>
      <c r="C21" s="759"/>
      <c r="D21" s="759"/>
      <c r="E21" s="759"/>
      <c r="F21" s="759"/>
      <c r="G21" s="759"/>
      <c r="H21" s="759"/>
      <c r="I21" s="759"/>
      <c r="J21" s="759"/>
      <c r="K21" s="759"/>
      <c r="L21" s="759"/>
      <c r="M21" s="759"/>
      <c r="N21" s="759"/>
      <c r="O21" s="759"/>
      <c r="P21" s="19"/>
      <c r="Q21" s="916"/>
    </row>
    <row r="22" spans="1:17" ht="15.75" customHeight="1">
      <c r="A22" s="887"/>
      <c r="B22" s="761" t="s">
        <v>27</v>
      </c>
      <c r="C22" s="762"/>
      <c r="D22" s="762"/>
      <c r="E22" s="762"/>
      <c r="F22" s="762"/>
      <c r="G22" s="762"/>
      <c r="H22" s="762"/>
      <c r="I22" s="762"/>
      <c r="J22" s="762"/>
      <c r="K22" s="762"/>
      <c r="L22" s="762"/>
      <c r="M22" s="762"/>
      <c r="N22" s="762"/>
      <c r="O22" s="763"/>
      <c r="P22" s="19"/>
      <c r="Q22" s="916"/>
    </row>
    <row r="23" spans="1:17" ht="15" customHeight="1">
      <c r="A23" s="887"/>
      <c r="B23" s="871" t="s">
        <v>28</v>
      </c>
      <c r="C23" s="875">
        <f>'Food-Data Entry'!D4</f>
        <v>44652</v>
      </c>
      <c r="D23" s="877" t="s">
        <v>195</v>
      </c>
      <c r="E23" s="50">
        <f>'Food-Data Entry'!E4</f>
        <v>44652</v>
      </c>
      <c r="F23" s="854" t="s">
        <v>29</v>
      </c>
      <c r="G23" s="873" t="str">
        <f>'Food-Data Entry'!G4</f>
        <v>vU; L=ksr ls çIr@m/kkj fy;k ¼$@&amp;½</v>
      </c>
      <c r="H23" s="873" t="s">
        <v>30</v>
      </c>
      <c r="I23" s="858" t="s">
        <v>216</v>
      </c>
      <c r="J23" s="879"/>
      <c r="K23" s="49">
        <f>E23</f>
        <v>44652</v>
      </c>
      <c r="L23" s="854" t="s">
        <v>31</v>
      </c>
      <c r="M23" s="856" t="s">
        <v>217</v>
      </c>
      <c r="N23" s="858" t="s">
        <v>32</v>
      </c>
      <c r="O23" s="859"/>
      <c r="P23" s="19"/>
      <c r="Q23" s="916"/>
    </row>
    <row r="24" spans="1:17" ht="27.75" customHeight="1">
      <c r="A24" s="887"/>
      <c r="B24" s="872"/>
      <c r="C24" s="876"/>
      <c r="D24" s="878"/>
      <c r="E24" s="32" t="str">
        <f>'Food-Data Entry'!E5</f>
        <v>ls xr ekg ds vUr rd çkIr</v>
      </c>
      <c r="F24" s="855"/>
      <c r="G24" s="874"/>
      <c r="H24" s="874"/>
      <c r="I24" s="860"/>
      <c r="J24" s="880"/>
      <c r="K24" s="31" t="s">
        <v>197</v>
      </c>
      <c r="L24" s="855"/>
      <c r="M24" s="857"/>
      <c r="N24" s="860"/>
      <c r="O24" s="861"/>
      <c r="P24" s="19"/>
      <c r="Q24" s="916"/>
    </row>
    <row r="25" spans="1:17" ht="15.75" customHeight="1">
      <c r="A25" s="887"/>
      <c r="B25" s="27">
        <v>1</v>
      </c>
      <c r="C25" s="838">
        <v>2</v>
      </c>
      <c r="D25" s="839"/>
      <c r="E25" s="35">
        <v>3</v>
      </c>
      <c r="F25" s="35">
        <v>4</v>
      </c>
      <c r="G25" s="35">
        <v>5</v>
      </c>
      <c r="H25" s="35">
        <v>6</v>
      </c>
      <c r="I25" s="838">
        <v>7</v>
      </c>
      <c r="J25" s="839"/>
      <c r="K25" s="35">
        <v>8</v>
      </c>
      <c r="L25" s="35">
        <v>9</v>
      </c>
      <c r="M25" s="35">
        <v>10</v>
      </c>
      <c r="N25" s="838">
        <v>11</v>
      </c>
      <c r="O25" s="840"/>
      <c r="P25" s="19"/>
      <c r="Q25" s="916"/>
    </row>
    <row r="26" spans="1:17" ht="15" customHeight="1">
      <c r="A26" s="887"/>
      <c r="B26" s="28" t="s">
        <v>33</v>
      </c>
      <c r="C26" s="3" t="s">
        <v>34</v>
      </c>
      <c r="D26" s="51">
        <f>'Food-Data Entry'!D10</f>
        <v>50</v>
      </c>
      <c r="E26" s="51">
        <f>'Food-Data Entry'!E10</f>
        <v>20</v>
      </c>
      <c r="F26" s="51">
        <f>'Food-Data Entry'!F10</f>
        <v>0</v>
      </c>
      <c r="G26" s="51">
        <f>'Food-Data Entry'!G10</f>
        <v>0</v>
      </c>
      <c r="H26" s="51">
        <f>'Food-Data Entry'!H10</f>
        <v>-10</v>
      </c>
      <c r="I26" s="739">
        <f>D26+E26+F26+G26+H26</f>
        <v>60</v>
      </c>
      <c r="J26" s="740"/>
      <c r="K26" s="51">
        <f>'Food-Data Entry'!J10</f>
        <v>20</v>
      </c>
      <c r="L26" s="51">
        <f>'Food-Data Entry'!AW38</f>
        <v>0</v>
      </c>
      <c r="M26" s="53">
        <f>K26+L26</f>
        <v>20</v>
      </c>
      <c r="N26" s="739">
        <f>I26-M26</f>
        <v>40</v>
      </c>
      <c r="O26" s="833"/>
      <c r="P26" s="19"/>
      <c r="Q26" s="916"/>
    </row>
    <row r="27" spans="1:17" ht="15" customHeight="1">
      <c r="A27" s="887"/>
      <c r="B27" s="28" t="s">
        <v>33</v>
      </c>
      <c r="C27" s="3" t="s">
        <v>35</v>
      </c>
      <c r="D27" s="51">
        <f>'Food-Data Entry'!D11</f>
        <v>100</v>
      </c>
      <c r="E27" s="51">
        <f>'Food-Data Entry'!E11</f>
        <v>40</v>
      </c>
      <c r="F27" s="51">
        <f>'Food-Data Entry'!F11</f>
        <v>0</v>
      </c>
      <c r="G27" s="51">
        <f>'Food-Data Entry'!G11</f>
        <v>0</v>
      </c>
      <c r="H27" s="51">
        <f>'Food-Data Entry'!H11</f>
        <v>-20</v>
      </c>
      <c r="I27" s="739">
        <f t="shared" ref="I27:I33" si="0">D27+E27+F27+G27+H27</f>
        <v>120</v>
      </c>
      <c r="J27" s="740"/>
      <c r="K27" s="51">
        <f>'Food-Data Entry'!J11</f>
        <v>40</v>
      </c>
      <c r="L27" s="51">
        <f>'Food-Data Entry'!AX38</f>
        <v>0</v>
      </c>
      <c r="M27" s="53">
        <f t="shared" ref="M27:M29" si="1">K27+L27</f>
        <v>40</v>
      </c>
      <c r="N27" s="739">
        <f t="shared" ref="N27:N29" si="2">I27-M27</f>
        <v>80</v>
      </c>
      <c r="O27" s="833"/>
      <c r="P27" s="19"/>
      <c r="Q27" s="916"/>
    </row>
    <row r="28" spans="1:17" ht="15" customHeight="1">
      <c r="A28" s="887"/>
      <c r="B28" s="28" t="s">
        <v>36</v>
      </c>
      <c r="C28" s="3" t="s">
        <v>34</v>
      </c>
      <c r="D28" s="51">
        <f>'Food-Data Entry'!D12</f>
        <v>80</v>
      </c>
      <c r="E28" s="51">
        <f>'Food-Data Entry'!E12</f>
        <v>40</v>
      </c>
      <c r="F28" s="51">
        <f>'Food-Data Entry'!F12</f>
        <v>0</v>
      </c>
      <c r="G28" s="51">
        <f>'Food-Data Entry'!G12</f>
        <v>0</v>
      </c>
      <c r="H28" s="51">
        <f>'Food-Data Entry'!H12</f>
        <v>-30</v>
      </c>
      <c r="I28" s="739">
        <f t="shared" si="0"/>
        <v>90</v>
      </c>
      <c r="J28" s="740"/>
      <c r="K28" s="51">
        <f>'Food-Data Entry'!J12</f>
        <v>70</v>
      </c>
      <c r="L28" s="51">
        <f>'Food-Data Entry'!AY38</f>
        <v>0</v>
      </c>
      <c r="M28" s="53">
        <f t="shared" si="1"/>
        <v>70</v>
      </c>
      <c r="N28" s="739">
        <f t="shared" si="2"/>
        <v>20</v>
      </c>
      <c r="O28" s="833"/>
      <c r="P28" s="19"/>
      <c r="Q28" s="916"/>
    </row>
    <row r="29" spans="1:17" ht="15" customHeight="1">
      <c r="A29" s="887"/>
      <c r="B29" s="28" t="s">
        <v>36</v>
      </c>
      <c r="C29" s="3" t="s">
        <v>35</v>
      </c>
      <c r="D29" s="51">
        <f>'Food-Data Entry'!D13</f>
        <v>60</v>
      </c>
      <c r="E29" s="51">
        <f>'Food-Data Entry'!E13</f>
        <v>40</v>
      </c>
      <c r="F29" s="51">
        <f>'Food-Data Entry'!F13</f>
        <v>0</v>
      </c>
      <c r="G29" s="51">
        <f>'Food-Data Entry'!G13</f>
        <v>0</v>
      </c>
      <c r="H29" s="51">
        <f>'Food-Data Entry'!H13</f>
        <v>-20</v>
      </c>
      <c r="I29" s="739">
        <f t="shared" si="0"/>
        <v>80</v>
      </c>
      <c r="J29" s="740"/>
      <c r="K29" s="51">
        <f>'Food-Data Entry'!J13</f>
        <v>60</v>
      </c>
      <c r="L29" s="51">
        <f>'Food-Data Entry'!AZ38</f>
        <v>0</v>
      </c>
      <c r="M29" s="53">
        <f t="shared" si="1"/>
        <v>60</v>
      </c>
      <c r="N29" s="739">
        <f t="shared" si="2"/>
        <v>20</v>
      </c>
      <c r="O29" s="833"/>
      <c r="P29" s="19"/>
      <c r="Q29" s="916"/>
    </row>
    <row r="30" spans="1:17" ht="15.75" customHeight="1">
      <c r="A30" s="887"/>
      <c r="B30" s="834" t="s">
        <v>37</v>
      </c>
      <c r="C30" s="835"/>
      <c r="D30" s="52">
        <f>SUM(D26:D29)</f>
        <v>290</v>
      </c>
      <c r="E30" s="52">
        <f t="shared" ref="E30:H30" si="3">SUM(E26:E29)</f>
        <v>140</v>
      </c>
      <c r="F30" s="52">
        <f t="shared" si="3"/>
        <v>0</v>
      </c>
      <c r="G30" s="52">
        <f t="shared" si="3"/>
        <v>0</v>
      </c>
      <c r="H30" s="52">
        <f t="shared" si="3"/>
        <v>-80</v>
      </c>
      <c r="I30" s="739">
        <f t="shared" si="0"/>
        <v>350</v>
      </c>
      <c r="J30" s="740"/>
      <c r="K30" s="52">
        <f t="shared" ref="K30" si="4">SUM(K26:K29)</f>
        <v>190</v>
      </c>
      <c r="L30" s="54">
        <f t="shared" ref="L30:N30" si="5">SUM(L26:L29)</f>
        <v>0</v>
      </c>
      <c r="M30" s="54">
        <f t="shared" si="5"/>
        <v>190</v>
      </c>
      <c r="N30" s="836">
        <f t="shared" si="5"/>
        <v>160</v>
      </c>
      <c r="O30" s="837"/>
      <c r="P30" s="19"/>
      <c r="Q30" s="916"/>
    </row>
    <row r="31" spans="1:17" ht="15" customHeight="1">
      <c r="A31" s="887"/>
      <c r="B31" s="28" t="s">
        <v>33</v>
      </c>
      <c r="C31" s="3" t="s">
        <v>215</v>
      </c>
      <c r="D31" s="51">
        <f>'MIlk-Data Entry'!D10</f>
        <v>50</v>
      </c>
      <c r="E31" s="51">
        <f>'MIlk-Data Entry'!E10</f>
        <v>20</v>
      </c>
      <c r="F31" s="51">
        <f>'MIlk-Data Entry'!F10</f>
        <v>0</v>
      </c>
      <c r="G31" s="51">
        <f>'MIlk-Data Entry'!G10</f>
        <v>0</v>
      </c>
      <c r="H31" s="51">
        <f>'MIlk-Data Entry'!H10</f>
        <v>-10</v>
      </c>
      <c r="I31" s="739">
        <f t="shared" si="0"/>
        <v>60</v>
      </c>
      <c r="J31" s="740"/>
      <c r="K31" s="51">
        <f>'MIlk-Data Entry'!J10</f>
        <v>20</v>
      </c>
      <c r="L31" s="51">
        <f>'MIlk-Data Entry'!BB38</f>
        <v>0.16499999999999998</v>
      </c>
      <c r="M31" s="53">
        <f t="shared" ref="M31:M32" si="6">K31+L31</f>
        <v>20.164999999999999</v>
      </c>
      <c r="N31" s="739">
        <f>I31-M31</f>
        <v>39.835000000000001</v>
      </c>
      <c r="O31" s="833"/>
      <c r="P31" s="19"/>
      <c r="Q31" s="916"/>
    </row>
    <row r="32" spans="1:17" ht="15" customHeight="1">
      <c r="A32" s="887"/>
      <c r="B32" s="28" t="s">
        <v>36</v>
      </c>
      <c r="C32" s="3" t="s">
        <v>215</v>
      </c>
      <c r="D32" s="51">
        <f>'MIlk-Data Entry'!D12</f>
        <v>0</v>
      </c>
      <c r="E32" s="51">
        <f>'MIlk-Data Entry'!E12</f>
        <v>0</v>
      </c>
      <c r="F32" s="51">
        <f>'MIlk-Data Entry'!F12</f>
        <v>0</v>
      </c>
      <c r="G32" s="51">
        <f>'MIlk-Data Entry'!G12</f>
        <v>0</v>
      </c>
      <c r="H32" s="51">
        <f>'MIlk-Data Entry'!H12</f>
        <v>0</v>
      </c>
      <c r="I32" s="739">
        <f t="shared" si="0"/>
        <v>0</v>
      </c>
      <c r="J32" s="740"/>
      <c r="K32" s="51">
        <f>'MIlk-Data Entry'!J12</f>
        <v>0</v>
      </c>
      <c r="L32" s="51">
        <f>'MIlk-Data Entry'!BD38</f>
        <v>0.18</v>
      </c>
      <c r="M32" s="53">
        <f t="shared" si="6"/>
        <v>0.18</v>
      </c>
      <c r="N32" s="739">
        <f>I32-M32</f>
        <v>-0.18</v>
      </c>
      <c r="O32" s="833"/>
      <c r="P32" s="19"/>
      <c r="Q32" s="916"/>
    </row>
    <row r="33" spans="1:17" ht="15.75" customHeight="1">
      <c r="A33" s="887"/>
      <c r="B33" s="834" t="s">
        <v>37</v>
      </c>
      <c r="C33" s="835"/>
      <c r="D33" s="52">
        <f>SUM(D31:D32)</f>
        <v>50</v>
      </c>
      <c r="E33" s="52">
        <f t="shared" ref="E33:H33" si="7">SUM(E31:E32)</f>
        <v>20</v>
      </c>
      <c r="F33" s="52">
        <f t="shared" si="7"/>
        <v>0</v>
      </c>
      <c r="G33" s="52">
        <f t="shared" si="7"/>
        <v>0</v>
      </c>
      <c r="H33" s="52">
        <f t="shared" si="7"/>
        <v>-10</v>
      </c>
      <c r="I33" s="739">
        <f t="shared" si="0"/>
        <v>60</v>
      </c>
      <c r="J33" s="740"/>
      <c r="K33" s="52">
        <f t="shared" ref="K33" si="8">SUM(K31:K32)</f>
        <v>20</v>
      </c>
      <c r="L33" s="54">
        <f t="shared" ref="L33:M33" si="9">SUM(L29:L32)</f>
        <v>0.34499999999999997</v>
      </c>
      <c r="M33" s="54">
        <f t="shared" si="9"/>
        <v>270.34500000000003</v>
      </c>
      <c r="N33" s="836">
        <f>SUM(N31:N32)</f>
        <v>39.655000000000001</v>
      </c>
      <c r="O33" s="837"/>
      <c r="P33" s="19"/>
      <c r="Q33" s="916"/>
    </row>
    <row r="34" spans="1:17" ht="15.75" customHeight="1">
      <c r="A34" s="887"/>
      <c r="B34" s="761" t="s">
        <v>38</v>
      </c>
      <c r="C34" s="762"/>
      <c r="D34" s="762"/>
      <c r="E34" s="762"/>
      <c r="F34" s="762"/>
      <c r="G34" s="762"/>
      <c r="H34" s="762"/>
      <c r="I34" s="762"/>
      <c r="J34" s="762"/>
      <c r="K34" s="762"/>
      <c r="L34" s="762"/>
      <c r="M34" s="762"/>
      <c r="N34" s="762"/>
      <c r="O34" s="763"/>
      <c r="P34" s="19"/>
      <c r="Q34" s="916"/>
    </row>
    <row r="35" spans="1:17" ht="15" customHeight="1">
      <c r="A35" s="887"/>
      <c r="B35" s="786" t="s">
        <v>39</v>
      </c>
      <c r="C35" s="742"/>
      <c r="D35" s="742"/>
      <c r="E35" s="743"/>
      <c r="F35" s="741" t="s">
        <v>40</v>
      </c>
      <c r="G35" s="742"/>
      <c r="H35" s="742"/>
      <c r="I35" s="743"/>
      <c r="J35" s="747" t="s">
        <v>218</v>
      </c>
      <c r="K35" s="741" t="s">
        <v>41</v>
      </c>
      <c r="L35" s="742"/>
      <c r="M35" s="743"/>
      <c r="N35" s="741" t="s">
        <v>42</v>
      </c>
      <c r="O35" s="820"/>
      <c r="P35" s="19"/>
      <c r="Q35" s="916"/>
    </row>
    <row r="36" spans="1:17" ht="15" customHeight="1">
      <c r="A36" s="887"/>
      <c r="B36" s="29" t="s">
        <v>43</v>
      </c>
      <c r="C36" s="8" t="s">
        <v>44</v>
      </c>
      <c r="D36" s="8" t="s">
        <v>45</v>
      </c>
      <c r="E36" s="8" t="s">
        <v>46</v>
      </c>
      <c r="F36" s="7" t="s">
        <v>43</v>
      </c>
      <c r="G36" s="7" t="s">
        <v>44</v>
      </c>
      <c r="H36" s="7" t="s">
        <v>45</v>
      </c>
      <c r="I36" s="7" t="s">
        <v>46</v>
      </c>
      <c r="J36" s="748"/>
      <c r="K36" s="821" t="s">
        <v>44</v>
      </c>
      <c r="L36" s="822"/>
      <c r="M36" s="823"/>
      <c r="N36" s="824">
        <f>COUNTIF('School Info'!$J$18:$J$23,"SC")</f>
        <v>0</v>
      </c>
      <c r="O36" s="825"/>
      <c r="P36" s="19"/>
      <c r="Q36" s="916"/>
    </row>
    <row r="37" spans="1:17" ht="15" customHeight="1">
      <c r="A37" s="887"/>
      <c r="B37" s="832">
        <f>'Food-Data Entry'!B17</f>
        <v>0</v>
      </c>
      <c r="C37" s="817">
        <f>'Food-Data Entry'!C17</f>
        <v>0</v>
      </c>
      <c r="D37" s="817">
        <f>'Food-Data Entry'!D17</f>
        <v>0</v>
      </c>
      <c r="E37" s="818">
        <f>SUM(B37:D39)</f>
        <v>0</v>
      </c>
      <c r="F37" s="817">
        <f>'Food-Data Entry'!F17</f>
        <v>0</v>
      </c>
      <c r="G37" s="817">
        <f>'Food-Data Entry'!G17</f>
        <v>0</v>
      </c>
      <c r="H37" s="817">
        <f>'Food-Data Entry'!H17</f>
        <v>0</v>
      </c>
      <c r="I37" s="744">
        <f>SUM(F37:H39)</f>
        <v>0</v>
      </c>
      <c r="J37" s="744">
        <f>E37+I37</f>
        <v>0</v>
      </c>
      <c r="K37" s="821" t="s">
        <v>45</v>
      </c>
      <c r="L37" s="822"/>
      <c r="M37" s="823"/>
      <c r="N37" s="824">
        <f>COUNTIF('School Info'!$J$18:$J$23,"ST")</f>
        <v>0</v>
      </c>
      <c r="O37" s="825"/>
      <c r="P37" s="19"/>
      <c r="Q37" s="916"/>
    </row>
    <row r="38" spans="1:17" ht="20.25" customHeight="1">
      <c r="A38" s="887"/>
      <c r="B38" s="832"/>
      <c r="C38" s="817"/>
      <c r="D38" s="817"/>
      <c r="E38" s="819"/>
      <c r="F38" s="817"/>
      <c r="G38" s="817"/>
      <c r="H38" s="817"/>
      <c r="I38" s="745"/>
      <c r="J38" s="745"/>
      <c r="K38" s="821" t="s">
        <v>43</v>
      </c>
      <c r="L38" s="822"/>
      <c r="M38" s="823"/>
      <c r="N38" s="826">
        <f>B20-N36-N37</f>
        <v>3</v>
      </c>
      <c r="O38" s="825"/>
      <c r="P38" s="19"/>
      <c r="Q38" s="916"/>
    </row>
    <row r="39" spans="1:17" ht="20.25" customHeight="1">
      <c r="A39" s="887"/>
      <c r="B39" s="832"/>
      <c r="C39" s="817"/>
      <c r="D39" s="817"/>
      <c r="E39" s="819"/>
      <c r="F39" s="817"/>
      <c r="G39" s="817"/>
      <c r="H39" s="817"/>
      <c r="I39" s="746"/>
      <c r="J39" s="746"/>
      <c r="K39" s="827" t="s">
        <v>46</v>
      </c>
      <c r="L39" s="828"/>
      <c r="M39" s="829"/>
      <c r="N39" s="830">
        <f>SUM(N36:O38)</f>
        <v>3</v>
      </c>
      <c r="O39" s="831"/>
      <c r="P39" s="19"/>
      <c r="Q39" s="916"/>
    </row>
    <row r="40" spans="1:17" ht="15.75" customHeight="1">
      <c r="A40" s="887"/>
      <c r="B40" s="761" t="s">
        <v>47</v>
      </c>
      <c r="C40" s="762"/>
      <c r="D40" s="762"/>
      <c r="E40" s="762"/>
      <c r="F40" s="762"/>
      <c r="G40" s="762"/>
      <c r="H40" s="762"/>
      <c r="I40" s="762"/>
      <c r="J40" s="762"/>
      <c r="K40" s="762"/>
      <c r="L40" s="762"/>
      <c r="M40" s="762"/>
      <c r="N40" s="762"/>
      <c r="O40" s="763"/>
      <c r="P40" s="19"/>
      <c r="Q40" s="916"/>
    </row>
    <row r="41" spans="1:17" ht="16.5" customHeight="1">
      <c r="A41" s="887"/>
      <c r="B41" s="764" t="s">
        <v>48</v>
      </c>
      <c r="C41" s="765"/>
      <c r="D41" s="766" t="s">
        <v>49</v>
      </c>
      <c r="E41" s="767"/>
      <c r="F41" s="765"/>
      <c r="G41" s="766" t="s">
        <v>50</v>
      </c>
      <c r="H41" s="765"/>
      <c r="I41" s="771" t="s">
        <v>193</v>
      </c>
      <c r="J41" s="772"/>
      <c r="K41" s="773"/>
      <c r="L41" s="768" t="s">
        <v>51</v>
      </c>
      <c r="M41" s="769"/>
      <c r="N41" s="769"/>
      <c r="O41" s="770"/>
      <c r="P41" s="19"/>
      <c r="Q41" s="916"/>
    </row>
    <row r="42" spans="1:17" ht="16.5" customHeight="1">
      <c r="A42" s="887"/>
      <c r="B42" s="749">
        <f>'School Info'!F18</f>
        <v>1</v>
      </c>
      <c r="C42" s="750"/>
      <c r="D42" s="751" t="str">
        <f>'School Info'!G18</f>
        <v>Bhanwari Devi</v>
      </c>
      <c r="E42" s="752"/>
      <c r="F42" s="753"/>
      <c r="G42" s="751" t="str">
        <f>'School Info'!I18</f>
        <v>Female</v>
      </c>
      <c r="H42" s="753"/>
      <c r="I42" s="752" t="str">
        <f>'School Info'!J18</f>
        <v>OBC</v>
      </c>
      <c r="J42" s="752"/>
      <c r="K42" s="753"/>
      <c r="L42" s="758">
        <f>'School Info'!K18</f>
        <v>0</v>
      </c>
      <c r="M42" s="759"/>
      <c r="N42" s="759"/>
      <c r="O42" s="760"/>
      <c r="P42" s="19"/>
      <c r="Q42" s="916"/>
    </row>
    <row r="43" spans="1:17" ht="16.5" customHeight="1">
      <c r="A43" s="887"/>
      <c r="B43" s="749">
        <f>'School Info'!F19</f>
        <v>2</v>
      </c>
      <c r="C43" s="750"/>
      <c r="D43" s="751" t="str">
        <f>'School Info'!G19</f>
        <v>Rekha</v>
      </c>
      <c r="E43" s="752"/>
      <c r="F43" s="753"/>
      <c r="G43" s="751" t="str">
        <f>'School Info'!I19</f>
        <v>Female</v>
      </c>
      <c r="H43" s="753"/>
      <c r="I43" s="752" t="str">
        <f>'School Info'!J19</f>
        <v>OBC</v>
      </c>
      <c r="J43" s="752"/>
      <c r="K43" s="753"/>
      <c r="L43" s="758">
        <f>'School Info'!K19</f>
        <v>0</v>
      </c>
      <c r="M43" s="759"/>
      <c r="N43" s="759"/>
      <c r="O43" s="760"/>
      <c r="P43" s="19"/>
      <c r="Q43" s="916"/>
    </row>
    <row r="44" spans="1:17" ht="16.5" customHeight="1">
      <c r="A44" s="887"/>
      <c r="B44" s="749">
        <f>'School Info'!F20</f>
        <v>3</v>
      </c>
      <c r="C44" s="750"/>
      <c r="D44" s="751" t="str">
        <f>'School Info'!G20</f>
        <v>Heera</v>
      </c>
      <c r="E44" s="752"/>
      <c r="F44" s="753"/>
      <c r="G44" s="751" t="str">
        <f>'School Info'!I20</f>
        <v>Female</v>
      </c>
      <c r="H44" s="753"/>
      <c r="I44" s="752" t="str">
        <f>'School Info'!J20</f>
        <v>OBC</v>
      </c>
      <c r="J44" s="752"/>
      <c r="K44" s="753"/>
      <c r="L44" s="758">
        <f>'School Info'!K20</f>
        <v>0</v>
      </c>
      <c r="M44" s="759"/>
      <c r="N44" s="759"/>
      <c r="O44" s="760"/>
      <c r="P44" s="19"/>
      <c r="Q44" s="916"/>
    </row>
    <row r="45" spans="1:17" ht="16.5" customHeight="1">
      <c r="A45" s="887"/>
      <c r="B45" s="749">
        <f>'School Info'!F21</f>
        <v>0</v>
      </c>
      <c r="C45" s="750"/>
      <c r="D45" s="751">
        <f>'School Info'!G21</f>
        <v>0</v>
      </c>
      <c r="E45" s="752"/>
      <c r="F45" s="753"/>
      <c r="G45" s="751">
        <f>'School Info'!I21</f>
        <v>0</v>
      </c>
      <c r="H45" s="753"/>
      <c r="I45" s="752">
        <f>'School Info'!J21</f>
        <v>0</v>
      </c>
      <c r="J45" s="752"/>
      <c r="K45" s="753"/>
      <c r="L45" s="758">
        <f>'School Info'!K21</f>
        <v>0</v>
      </c>
      <c r="M45" s="759"/>
      <c r="N45" s="759"/>
      <c r="O45" s="760"/>
      <c r="P45" s="19"/>
      <c r="Q45" s="916"/>
    </row>
    <row r="46" spans="1:17" ht="16.5" customHeight="1">
      <c r="A46" s="887"/>
      <c r="B46" s="749">
        <f>'School Info'!F22</f>
        <v>0</v>
      </c>
      <c r="C46" s="750"/>
      <c r="D46" s="751">
        <f>'School Info'!G22</f>
        <v>0</v>
      </c>
      <c r="E46" s="752"/>
      <c r="F46" s="753"/>
      <c r="G46" s="751">
        <f>'School Info'!I22</f>
        <v>0</v>
      </c>
      <c r="H46" s="753"/>
      <c r="I46" s="752">
        <f>'School Info'!J22</f>
        <v>0</v>
      </c>
      <c r="J46" s="752"/>
      <c r="K46" s="753"/>
      <c r="L46" s="758">
        <f>'School Info'!K22</f>
        <v>0</v>
      </c>
      <c r="M46" s="759"/>
      <c r="N46" s="759"/>
      <c r="O46" s="760"/>
      <c r="P46" s="19"/>
      <c r="Q46" s="916"/>
    </row>
    <row r="47" spans="1:17" ht="16.5" customHeight="1">
      <c r="A47" s="887"/>
      <c r="B47" s="749">
        <f>'School Info'!F23</f>
        <v>0</v>
      </c>
      <c r="C47" s="750"/>
      <c r="D47" s="751">
        <f>'School Info'!G23</f>
        <v>0</v>
      </c>
      <c r="E47" s="752"/>
      <c r="F47" s="753"/>
      <c r="G47" s="751">
        <f>'School Info'!I23</f>
        <v>0</v>
      </c>
      <c r="H47" s="753"/>
      <c r="I47" s="752">
        <f>'School Info'!J23</f>
        <v>0</v>
      </c>
      <c r="J47" s="752"/>
      <c r="K47" s="753"/>
      <c r="L47" s="758">
        <f>'School Info'!K23</f>
        <v>0</v>
      </c>
      <c r="M47" s="759"/>
      <c r="N47" s="759"/>
      <c r="O47" s="760"/>
      <c r="P47" s="19"/>
      <c r="Q47" s="916"/>
    </row>
    <row r="48" spans="1:17" ht="15.75" customHeight="1">
      <c r="A48" s="887"/>
      <c r="B48" s="790" t="s">
        <v>52</v>
      </c>
      <c r="C48" s="791"/>
      <c r="D48" s="791"/>
      <c r="E48" s="791"/>
      <c r="F48" s="791"/>
      <c r="G48" s="762" t="s">
        <v>53</v>
      </c>
      <c r="H48" s="762"/>
      <c r="I48" s="762"/>
      <c r="J48" s="762"/>
      <c r="K48" s="762"/>
      <c r="L48" s="762"/>
      <c r="M48" s="762"/>
      <c r="N48" s="762"/>
      <c r="O48" s="763"/>
      <c r="P48" s="19"/>
      <c r="Q48" s="916"/>
    </row>
    <row r="49" spans="1:17" ht="15" customHeight="1">
      <c r="A49" s="887"/>
      <c r="B49" s="792" t="s">
        <v>54</v>
      </c>
      <c r="C49" s="793"/>
      <c r="D49" s="793"/>
      <c r="E49" s="793"/>
      <c r="F49" s="794"/>
      <c r="G49" s="795" t="s">
        <v>185</v>
      </c>
      <c r="H49" s="796"/>
      <c r="I49" s="805" t="s">
        <v>55</v>
      </c>
      <c r="J49" s="797" t="s">
        <v>56</v>
      </c>
      <c r="K49" s="798"/>
      <c r="L49" s="808" t="s">
        <v>57</v>
      </c>
      <c r="M49" s="809"/>
      <c r="N49" s="809"/>
      <c r="O49" s="810"/>
      <c r="P49" s="19"/>
      <c r="Q49" s="916"/>
    </row>
    <row r="50" spans="1:17" ht="15" customHeight="1">
      <c r="A50" s="887"/>
      <c r="B50" s="786" t="s">
        <v>58</v>
      </c>
      <c r="C50" s="742"/>
      <c r="D50" s="742"/>
      <c r="E50" s="743"/>
      <c r="F50" s="155"/>
      <c r="G50" s="803" t="str">
        <f>'Food-Data Entry'!AM3</f>
        <v>December-2022</v>
      </c>
      <c r="H50" s="804"/>
      <c r="I50" s="806"/>
      <c r="J50" s="799"/>
      <c r="K50" s="800"/>
      <c r="L50" s="811"/>
      <c r="M50" s="812"/>
      <c r="N50" s="812"/>
      <c r="O50" s="813"/>
      <c r="P50" s="19"/>
      <c r="Q50" s="916"/>
    </row>
    <row r="51" spans="1:17" ht="15" customHeight="1">
      <c r="A51" s="887"/>
      <c r="B51" s="786" t="s">
        <v>59</v>
      </c>
      <c r="C51" s="742"/>
      <c r="D51" s="742"/>
      <c r="E51" s="743"/>
      <c r="F51" s="155"/>
      <c r="G51" s="787" t="s">
        <v>186</v>
      </c>
      <c r="H51" s="788"/>
      <c r="I51" s="807"/>
      <c r="J51" s="801"/>
      <c r="K51" s="802"/>
      <c r="L51" s="814"/>
      <c r="M51" s="815"/>
      <c r="N51" s="815"/>
      <c r="O51" s="816"/>
      <c r="P51" s="19"/>
      <c r="Q51" s="916"/>
    </row>
    <row r="52" spans="1:17" ht="15" customHeight="1">
      <c r="A52" s="887"/>
      <c r="B52" s="786" t="s">
        <v>60</v>
      </c>
      <c r="C52" s="742"/>
      <c r="D52" s="742"/>
      <c r="E52" s="743"/>
      <c r="F52" s="155"/>
      <c r="G52" s="789"/>
      <c r="H52" s="789"/>
      <c r="I52" s="131"/>
      <c r="J52" s="789">
        <f>G52+I52</f>
        <v>0</v>
      </c>
      <c r="K52" s="789"/>
      <c r="L52" s="730" t="s">
        <v>61</v>
      </c>
      <c r="M52" s="731"/>
      <c r="N52" s="731"/>
      <c r="O52" s="732"/>
      <c r="P52" s="19"/>
      <c r="Q52" s="916"/>
    </row>
    <row r="53" spans="1:17" ht="15" customHeight="1">
      <c r="A53" s="887"/>
      <c r="B53" s="778" t="s">
        <v>62</v>
      </c>
      <c r="C53" s="779"/>
      <c r="D53" s="779"/>
      <c r="E53" s="780"/>
      <c r="F53" s="156">
        <v>44893</v>
      </c>
      <c r="G53" s="781" t="s">
        <v>298</v>
      </c>
      <c r="H53" s="782"/>
      <c r="I53" s="782"/>
      <c r="J53" s="782"/>
      <c r="K53" s="782"/>
      <c r="L53" s="782"/>
      <c r="M53" s="782"/>
      <c r="N53" s="782"/>
      <c r="O53" s="783"/>
      <c r="P53" s="19"/>
      <c r="Q53" s="916"/>
    </row>
    <row r="54" spans="1:17" ht="13.5" customHeight="1" thickBot="1">
      <c r="A54" s="887"/>
      <c r="B54" s="786" t="s">
        <v>63</v>
      </c>
      <c r="C54" s="742"/>
      <c r="D54" s="742"/>
      <c r="E54" s="743"/>
      <c r="F54" s="155"/>
      <c r="G54" s="784"/>
      <c r="H54" s="785"/>
      <c r="I54" s="785"/>
      <c r="J54" s="785"/>
      <c r="K54" s="785"/>
      <c r="L54" s="785"/>
      <c r="M54" s="782"/>
      <c r="N54" s="782"/>
      <c r="O54" s="783"/>
      <c r="P54" s="19"/>
      <c r="Q54" s="916"/>
    </row>
    <row r="55" spans="1:17" ht="15.75" customHeight="1">
      <c r="A55" s="887"/>
      <c r="B55" s="733" t="s">
        <v>64</v>
      </c>
      <c r="C55" s="734"/>
      <c r="D55" s="734"/>
      <c r="E55" s="734"/>
      <c r="F55" s="734"/>
      <c r="G55" s="734"/>
      <c r="H55" s="734"/>
      <c r="I55" s="734"/>
      <c r="J55" s="734"/>
      <c r="K55" s="734"/>
      <c r="L55" s="734"/>
      <c r="M55" s="724" t="s">
        <v>229</v>
      </c>
      <c r="N55" s="725"/>
      <c r="O55" s="726"/>
      <c r="P55" s="19"/>
      <c r="Q55" s="916"/>
    </row>
    <row r="56" spans="1:17" ht="29.25" customHeight="1">
      <c r="A56" s="887"/>
      <c r="B56" s="735" t="s">
        <v>219</v>
      </c>
      <c r="C56" s="736"/>
      <c r="D56" s="736"/>
      <c r="E56" s="736"/>
      <c r="F56" s="736"/>
      <c r="G56" s="736"/>
      <c r="H56" s="736"/>
      <c r="I56" s="736"/>
      <c r="J56" s="736"/>
      <c r="K56" s="736"/>
      <c r="L56" s="736"/>
      <c r="M56" s="727" t="str">
        <f>CONCATENATE('School Info'!I11," ","(","Mob.No.-",'School Info'!D12,")")</f>
        <v xml:space="preserve"> (Mob.No.-)</v>
      </c>
      <c r="N56" s="728"/>
      <c r="O56" s="729"/>
      <c r="P56" s="19"/>
      <c r="Q56" s="916"/>
    </row>
    <row r="57" spans="1:17" ht="15.75" customHeight="1">
      <c r="A57" s="887"/>
      <c r="B57" s="713" t="s">
        <v>220</v>
      </c>
      <c r="C57" s="714"/>
      <c r="D57" s="714"/>
      <c r="E57" s="714"/>
      <c r="F57" s="153">
        <f>B20</f>
        <v>3</v>
      </c>
      <c r="G57" s="9" t="s">
        <v>65</v>
      </c>
      <c r="H57" s="132" t="s">
        <v>66</v>
      </c>
      <c r="I57" s="737" t="s">
        <v>67</v>
      </c>
      <c r="J57" s="737"/>
      <c r="K57" s="737"/>
      <c r="L57" s="737"/>
      <c r="M57" s="718" t="s">
        <v>228</v>
      </c>
      <c r="N57" s="719"/>
      <c r="O57" s="720"/>
      <c r="P57" s="19"/>
      <c r="Q57" s="916"/>
    </row>
    <row r="58" spans="1:17" ht="15" customHeight="1">
      <c r="A58" s="887"/>
      <c r="B58" s="738" t="s">
        <v>221</v>
      </c>
      <c r="C58" s="717"/>
      <c r="D58" s="717"/>
      <c r="E58" s="717"/>
      <c r="F58" s="717"/>
      <c r="G58" s="717"/>
      <c r="H58" s="154">
        <f>'Food-Data Entry'!H14</f>
        <v>0</v>
      </c>
      <c r="I58" s="717" t="s">
        <v>226</v>
      </c>
      <c r="J58" s="717"/>
      <c r="K58" s="717"/>
      <c r="L58" s="717"/>
      <c r="M58" s="718"/>
      <c r="N58" s="719"/>
      <c r="O58" s="720"/>
      <c r="P58" s="19"/>
      <c r="Q58" s="916"/>
    </row>
    <row r="59" spans="1:17" ht="15" customHeight="1">
      <c r="A59" s="887"/>
      <c r="B59" s="738" t="s">
        <v>222</v>
      </c>
      <c r="C59" s="717"/>
      <c r="D59" s="717"/>
      <c r="E59" s="717"/>
      <c r="F59" s="717"/>
      <c r="G59" s="717"/>
      <c r="H59" s="717"/>
      <c r="I59" s="717"/>
      <c r="J59" s="717"/>
      <c r="K59" s="717"/>
      <c r="L59" s="30"/>
      <c r="M59" s="718"/>
      <c r="N59" s="719"/>
      <c r="O59" s="720"/>
      <c r="P59" s="19"/>
      <c r="Q59" s="916"/>
    </row>
    <row r="60" spans="1:17" ht="15" customHeight="1">
      <c r="A60" s="887"/>
      <c r="B60" s="713" t="s">
        <v>223</v>
      </c>
      <c r="C60" s="714"/>
      <c r="D60" s="714"/>
      <c r="E60" s="714"/>
      <c r="F60" s="714"/>
      <c r="G60" s="714"/>
      <c r="H60" s="714"/>
      <c r="I60" s="133">
        <v>0</v>
      </c>
      <c r="J60" s="11" t="s">
        <v>187</v>
      </c>
      <c r="K60" s="10" t="s">
        <v>188</v>
      </c>
      <c r="L60" s="135">
        <v>0</v>
      </c>
      <c r="M60" s="718"/>
      <c r="N60" s="719"/>
      <c r="O60" s="720"/>
      <c r="P60" s="19"/>
      <c r="Q60" s="916"/>
    </row>
    <row r="61" spans="1:17" ht="15.75" customHeight="1" thickBot="1">
      <c r="A61" s="887"/>
      <c r="B61" s="715" t="s">
        <v>224</v>
      </c>
      <c r="C61" s="716"/>
      <c r="D61" s="716"/>
      <c r="E61" s="716"/>
      <c r="F61" s="716"/>
      <c r="G61" s="716"/>
      <c r="H61" s="134"/>
      <c r="I61" s="10" t="s">
        <v>225</v>
      </c>
      <c r="J61" s="134"/>
      <c r="K61" s="12" t="s">
        <v>69</v>
      </c>
      <c r="L61" s="30"/>
      <c r="M61" s="721"/>
      <c r="N61" s="722"/>
      <c r="O61" s="723"/>
      <c r="P61" s="19"/>
      <c r="Q61" s="916"/>
    </row>
    <row r="62" spans="1:17" ht="38.25" customHeight="1" thickBot="1">
      <c r="A62" s="887"/>
      <c r="B62" s="774" t="s">
        <v>227</v>
      </c>
      <c r="C62" s="775"/>
      <c r="D62" s="775"/>
      <c r="E62" s="775"/>
      <c r="F62" s="775"/>
      <c r="G62" s="775"/>
      <c r="H62" s="775"/>
      <c r="I62" s="775"/>
      <c r="J62" s="775"/>
      <c r="K62" s="775"/>
      <c r="L62" s="775"/>
      <c r="M62" s="776"/>
      <c r="N62" s="776"/>
      <c r="O62" s="777"/>
      <c r="P62" s="19"/>
      <c r="Q62" s="916"/>
    </row>
    <row r="63" spans="1:17"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</row>
    <row r="64" spans="1:17" hidden="1"/>
    <row r="65" hidden="1"/>
    <row r="66" hidden="1"/>
    <row r="67" hidden="1"/>
  </sheetData>
  <sheetProtection password="E8FA" sheet="1" objects="1" scenarios="1" formatCells="0" formatColumns="0" formatRows="0" selectLockedCells="1"/>
  <mergeCells count="198">
    <mergeCell ref="Q9:Q62"/>
    <mergeCell ref="E2:F2"/>
    <mergeCell ref="G2:O2"/>
    <mergeCell ref="B9:B10"/>
    <mergeCell ref="D9:F9"/>
    <mergeCell ref="G9:K9"/>
    <mergeCell ref="L9:O9"/>
    <mergeCell ref="D10:F10"/>
    <mergeCell ref="B7:C7"/>
    <mergeCell ref="D7:F7"/>
    <mergeCell ref="G7:K7"/>
    <mergeCell ref="L7:O7"/>
    <mergeCell ref="B8:C8"/>
    <mergeCell ref="D8:F8"/>
    <mergeCell ref="G8:K8"/>
    <mergeCell ref="L8:O8"/>
    <mergeCell ref="L10:O10"/>
    <mergeCell ref="B12:C13"/>
    <mergeCell ref="D12:D13"/>
    <mergeCell ref="E12:E13"/>
    <mergeCell ref="F12:F13"/>
    <mergeCell ref="G12:G13"/>
    <mergeCell ref="H12:H13"/>
    <mergeCell ref="M12:M13"/>
    <mergeCell ref="A1:Q1"/>
    <mergeCell ref="A2:A62"/>
    <mergeCell ref="B3:O3"/>
    <mergeCell ref="B4:C4"/>
    <mergeCell ref="D4:F4"/>
    <mergeCell ref="G4:K4"/>
    <mergeCell ref="L4:O4"/>
    <mergeCell ref="B5:C5"/>
    <mergeCell ref="D5:F5"/>
    <mergeCell ref="G5:K5"/>
    <mergeCell ref="L5:O5"/>
    <mergeCell ref="B6:C6"/>
    <mergeCell ref="D6:F6"/>
    <mergeCell ref="G6:K6"/>
    <mergeCell ref="L6:O6"/>
    <mergeCell ref="B2:D2"/>
    <mergeCell ref="B11:E11"/>
    <mergeCell ref="F11:G11"/>
    <mergeCell ref="H11:O11"/>
    <mergeCell ref="B14:C14"/>
    <mergeCell ref="B15:C15"/>
    <mergeCell ref="O12:O13"/>
    <mergeCell ref="G10:K10"/>
    <mergeCell ref="B22:O22"/>
    <mergeCell ref="N12:N13"/>
    <mergeCell ref="K12:K13"/>
    <mergeCell ref="L12:L13"/>
    <mergeCell ref="I12:J13"/>
    <mergeCell ref="I14:J14"/>
    <mergeCell ref="I15:J15"/>
    <mergeCell ref="B16:O16"/>
    <mergeCell ref="D17:E18"/>
    <mergeCell ref="D19:E19"/>
    <mergeCell ref="B17:C18"/>
    <mergeCell ref="B19:C19"/>
    <mergeCell ref="D20:E20"/>
    <mergeCell ref="F17:G18"/>
    <mergeCell ref="F19:G19"/>
    <mergeCell ref="F20:G20"/>
    <mergeCell ref="K17:M18"/>
    <mergeCell ref="K19:M19"/>
    <mergeCell ref="N17:O18"/>
    <mergeCell ref="L23:L24"/>
    <mergeCell ref="M23:M24"/>
    <mergeCell ref="N23:O24"/>
    <mergeCell ref="H17:H18"/>
    <mergeCell ref="I17:J18"/>
    <mergeCell ref="I19:J19"/>
    <mergeCell ref="N19:O19"/>
    <mergeCell ref="N20:O20"/>
    <mergeCell ref="K20:M20"/>
    <mergeCell ref="B21:O21"/>
    <mergeCell ref="B23:B24"/>
    <mergeCell ref="F23:F24"/>
    <mergeCell ref="G23:G24"/>
    <mergeCell ref="H23:H24"/>
    <mergeCell ref="C23:C24"/>
    <mergeCell ref="D23:D24"/>
    <mergeCell ref="I23:J24"/>
    <mergeCell ref="N32:O32"/>
    <mergeCell ref="B33:C33"/>
    <mergeCell ref="N33:O33"/>
    <mergeCell ref="I25:J25"/>
    <mergeCell ref="I26:J26"/>
    <mergeCell ref="I27:J27"/>
    <mergeCell ref="I28:J28"/>
    <mergeCell ref="I29:J29"/>
    <mergeCell ref="I30:J30"/>
    <mergeCell ref="I31:J31"/>
    <mergeCell ref="B30:C30"/>
    <mergeCell ref="N30:O30"/>
    <mergeCell ref="C25:D25"/>
    <mergeCell ref="N25:O25"/>
    <mergeCell ref="N26:O26"/>
    <mergeCell ref="N27:O27"/>
    <mergeCell ref="N28:O28"/>
    <mergeCell ref="N29:O29"/>
    <mergeCell ref="N31:O31"/>
    <mergeCell ref="B34:O34"/>
    <mergeCell ref="B35:E35"/>
    <mergeCell ref="K35:M35"/>
    <mergeCell ref="N35:O35"/>
    <mergeCell ref="K37:M37"/>
    <mergeCell ref="N37:O37"/>
    <mergeCell ref="K38:M38"/>
    <mergeCell ref="N38:O38"/>
    <mergeCell ref="K39:M39"/>
    <mergeCell ref="N39:O39"/>
    <mergeCell ref="K36:M36"/>
    <mergeCell ref="N36:O36"/>
    <mergeCell ref="B37:B39"/>
    <mergeCell ref="C37:C39"/>
    <mergeCell ref="L46:O46"/>
    <mergeCell ref="I46:K46"/>
    <mergeCell ref="I47:K47"/>
    <mergeCell ref="D37:D39"/>
    <mergeCell ref="E37:E39"/>
    <mergeCell ref="F37:F39"/>
    <mergeCell ref="G37:G39"/>
    <mergeCell ref="H37:H39"/>
    <mergeCell ref="J37:J39"/>
    <mergeCell ref="G42:H42"/>
    <mergeCell ref="L42:O42"/>
    <mergeCell ref="B48:F48"/>
    <mergeCell ref="G48:O48"/>
    <mergeCell ref="B49:F49"/>
    <mergeCell ref="G49:H49"/>
    <mergeCell ref="J49:K51"/>
    <mergeCell ref="B50:E50"/>
    <mergeCell ref="G50:H50"/>
    <mergeCell ref="B51:E51"/>
    <mergeCell ref="I44:K44"/>
    <mergeCell ref="I45:K45"/>
    <mergeCell ref="I49:I51"/>
    <mergeCell ref="L49:O51"/>
    <mergeCell ref="B44:C44"/>
    <mergeCell ref="D44:F44"/>
    <mergeCell ref="G44:H44"/>
    <mergeCell ref="L44:O44"/>
    <mergeCell ref="B47:C47"/>
    <mergeCell ref="D47:F47"/>
    <mergeCell ref="G47:H47"/>
    <mergeCell ref="L47:O47"/>
    <mergeCell ref="L45:O45"/>
    <mergeCell ref="B46:C46"/>
    <mergeCell ref="D46:F46"/>
    <mergeCell ref="G46:H46"/>
    <mergeCell ref="B62:O62"/>
    <mergeCell ref="B53:E53"/>
    <mergeCell ref="G53:O54"/>
    <mergeCell ref="B54:E54"/>
    <mergeCell ref="B57:E57"/>
    <mergeCell ref="G51:H51"/>
    <mergeCell ref="B52:E52"/>
    <mergeCell ref="G52:H52"/>
    <mergeCell ref="J52:K52"/>
    <mergeCell ref="B43:C43"/>
    <mergeCell ref="D43:F43"/>
    <mergeCell ref="G43:H43"/>
    <mergeCell ref="L43:O43"/>
    <mergeCell ref="B40:O40"/>
    <mergeCell ref="B41:C41"/>
    <mergeCell ref="D41:F41"/>
    <mergeCell ref="G41:H41"/>
    <mergeCell ref="L41:O41"/>
    <mergeCell ref="I41:K41"/>
    <mergeCell ref="I42:K42"/>
    <mergeCell ref="I43:K43"/>
    <mergeCell ref="B42:C42"/>
    <mergeCell ref="D42:F42"/>
    <mergeCell ref="Q2:Q8"/>
    <mergeCell ref="B63:Q63"/>
    <mergeCell ref="B60:H60"/>
    <mergeCell ref="B61:G61"/>
    <mergeCell ref="I58:L58"/>
    <mergeCell ref="M57:O61"/>
    <mergeCell ref="M55:O55"/>
    <mergeCell ref="M56:O56"/>
    <mergeCell ref="L52:O52"/>
    <mergeCell ref="B55:L55"/>
    <mergeCell ref="B56:L56"/>
    <mergeCell ref="I57:L57"/>
    <mergeCell ref="B58:G58"/>
    <mergeCell ref="B59:K59"/>
    <mergeCell ref="I32:J32"/>
    <mergeCell ref="I33:J33"/>
    <mergeCell ref="F35:I35"/>
    <mergeCell ref="I37:I39"/>
    <mergeCell ref="J35:J36"/>
    <mergeCell ref="B45:C45"/>
    <mergeCell ref="D45:F45"/>
    <mergeCell ref="G45:H45"/>
    <mergeCell ref="B20:C20"/>
    <mergeCell ref="I20:J20"/>
  </mergeCells>
  <conditionalFormatting sqref="N36:O39">
    <cfRule type="cellIs" dxfId="15" priority="5" operator="equal">
      <formula>0</formula>
    </cfRule>
  </conditionalFormatting>
  <conditionalFormatting sqref="B42:O47 G52:K52 F50:F54">
    <cfRule type="cellIs" dxfId="14" priority="2" operator="equal">
      <formula>0</formula>
    </cfRule>
  </conditionalFormatting>
  <pageMargins left="0.33" right="0.17" top="0.35" bottom="0.18" header="0.3" footer="0.16"/>
  <pageSetup scale="77" orientation="portrait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>
    <tabColor rgb="FF002060"/>
  </sheetPr>
  <dimension ref="A1:XFC49"/>
  <sheetViews>
    <sheetView showGridLines="0" workbookViewId="0">
      <selection activeCell="K13" sqref="K13:M13"/>
    </sheetView>
  </sheetViews>
  <sheetFormatPr defaultColWidth="0" defaultRowHeight="15" zeroHeight="1"/>
  <cols>
    <col min="1" max="1" width="3.42578125" style="18" customWidth="1"/>
    <col min="2" max="3" width="6.42578125" style="18" hidden="1" customWidth="1"/>
    <col min="4" max="4" width="12.5703125" style="18" bestFit="1" customWidth="1"/>
    <col min="5" max="5" width="17.140625" style="18" customWidth="1"/>
    <col min="6" max="6" width="13.140625" style="18" customWidth="1"/>
    <col min="7" max="7" width="11.140625" style="18" customWidth="1"/>
    <col min="8" max="8" width="12" style="18" customWidth="1"/>
    <col min="9" max="10" width="13.140625" style="18" customWidth="1"/>
    <col min="11" max="11" width="11" style="18" customWidth="1"/>
    <col min="12" max="12" width="12.28515625" style="18" customWidth="1"/>
    <col min="13" max="13" width="13" style="18" customWidth="1"/>
    <col min="14" max="14" width="2.5703125" style="18" customWidth="1"/>
    <col min="15" max="15" width="46.7109375" style="18" customWidth="1"/>
    <col min="16" max="16" width="2.85546875" style="18" customWidth="1"/>
    <col min="17" max="16383" width="9.140625" style="18" hidden="1"/>
    <col min="16384" max="16384" width="6.42578125" style="18" hidden="1"/>
  </cols>
  <sheetData>
    <row r="1" spans="1:24" ht="15.75" thickBot="1">
      <c r="A1" s="462"/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</row>
    <row r="2" spans="1:24" ht="26.25" customHeight="1">
      <c r="A2" s="887"/>
      <c r="B2" s="65"/>
      <c r="C2" s="65"/>
      <c r="D2" s="985" t="s">
        <v>72</v>
      </c>
      <c r="E2" s="986"/>
      <c r="F2" s="986"/>
      <c r="G2" s="986"/>
      <c r="H2" s="986"/>
      <c r="I2" s="986"/>
      <c r="J2" s="986"/>
      <c r="K2" s="986"/>
      <c r="L2" s="986"/>
      <c r="M2" s="987"/>
      <c r="N2" s="652"/>
      <c r="O2" s="945" t="str">
        <f>'School Info'!B2</f>
        <v>Prepared By:-  Mr. Ummeda Ram (Teacher,GSSS Raimalwada) Mob.No-9166973141</v>
      </c>
    </row>
    <row r="3" spans="1:24" ht="21.75" customHeight="1">
      <c r="A3" s="887"/>
      <c r="B3" s="65"/>
      <c r="C3" s="65"/>
      <c r="D3" s="967" t="str">
        <f>F6</f>
        <v>jktdh; mPp ek/;fed fo|ky; jk;eyok³k ¼ckfi.kh½] tks/kiqj</v>
      </c>
      <c r="E3" s="968"/>
      <c r="F3" s="968"/>
      <c r="G3" s="968"/>
      <c r="H3" s="968"/>
      <c r="I3" s="968"/>
      <c r="J3" s="968"/>
      <c r="K3" s="968"/>
      <c r="L3" s="968"/>
      <c r="M3" s="969"/>
      <c r="N3" s="652"/>
      <c r="O3" s="946"/>
    </row>
    <row r="4" spans="1:24" ht="18.75" customHeight="1">
      <c r="A4" s="887"/>
      <c r="B4" s="65"/>
      <c r="C4" s="65"/>
      <c r="D4" s="988" t="s">
        <v>230</v>
      </c>
      <c r="E4" s="989"/>
      <c r="F4" s="989"/>
      <c r="G4" s="989"/>
      <c r="H4" s="989"/>
      <c r="I4" s="990" t="s">
        <v>73</v>
      </c>
      <c r="J4" s="990"/>
      <c r="K4" s="990"/>
      <c r="L4" s="990"/>
      <c r="M4" s="991"/>
      <c r="N4" s="652"/>
      <c r="O4" s="946"/>
    </row>
    <row r="5" spans="1:24" ht="20.25" customHeight="1">
      <c r="A5" s="887"/>
      <c r="B5" s="65"/>
      <c r="C5" s="65"/>
      <c r="D5" s="992" t="s">
        <v>231</v>
      </c>
      <c r="E5" s="993"/>
      <c r="F5" s="993"/>
      <c r="G5" s="993"/>
      <c r="H5" s="993"/>
      <c r="I5" s="994"/>
      <c r="J5" s="970" t="str">
        <f>'Food-Data Entry'!$AM$3</f>
        <v>December-2022</v>
      </c>
      <c r="K5" s="971"/>
      <c r="L5" s="56" t="s">
        <v>95</v>
      </c>
      <c r="M5" s="57"/>
      <c r="N5" s="652"/>
      <c r="O5" s="946"/>
    </row>
    <row r="6" spans="1:24" ht="15.75" customHeight="1">
      <c r="A6" s="887"/>
      <c r="B6" s="65"/>
      <c r="C6" s="65"/>
      <c r="D6" s="933" t="s">
        <v>3</v>
      </c>
      <c r="E6" s="934"/>
      <c r="F6" s="980" t="str">
        <f>'School Info'!$D$4</f>
        <v>jktdh; mPp ek/;fed fo|ky; jk;eyok³k ¼ckfi.kh½] tks/kiqj</v>
      </c>
      <c r="G6" s="981"/>
      <c r="H6" s="982"/>
      <c r="I6" s="983" t="s">
        <v>2</v>
      </c>
      <c r="J6" s="984"/>
      <c r="K6" s="965" t="str">
        <f>'School Info'!$D$6</f>
        <v>081511106901</v>
      </c>
      <c r="L6" s="965"/>
      <c r="M6" s="966"/>
      <c r="N6" s="652"/>
      <c r="O6" s="946"/>
    </row>
    <row r="7" spans="1:24" ht="16.5" customHeight="1">
      <c r="A7" s="887"/>
      <c r="B7" s="65"/>
      <c r="C7" s="65"/>
      <c r="D7" s="933" t="s">
        <v>4</v>
      </c>
      <c r="E7" s="934"/>
      <c r="F7" s="995" t="str">
        <f>'School Info'!$D$7</f>
        <v>Rural</v>
      </c>
      <c r="G7" s="995"/>
      <c r="H7" s="934" t="s">
        <v>6</v>
      </c>
      <c r="I7" s="934"/>
      <c r="J7" s="934"/>
      <c r="K7" s="975" t="str">
        <f>'School Info'!$I$7</f>
        <v>Sr.Sec.(I to XII)</v>
      </c>
      <c r="L7" s="965"/>
      <c r="M7" s="966"/>
      <c r="N7" s="652"/>
      <c r="O7" s="946"/>
    </row>
    <row r="8" spans="1:24" ht="15.75" customHeight="1" thickBot="1">
      <c r="A8" s="887"/>
      <c r="B8" s="65"/>
      <c r="C8" s="65"/>
      <c r="D8" s="933" t="s">
        <v>9</v>
      </c>
      <c r="E8" s="934"/>
      <c r="F8" s="977" t="str">
        <f>'School Info'!$D$8</f>
        <v>JODHPUR</v>
      </c>
      <c r="G8" s="935"/>
      <c r="H8" s="934" t="s">
        <v>12</v>
      </c>
      <c r="I8" s="934"/>
      <c r="J8" s="934"/>
      <c r="K8" s="975" t="str">
        <f>'School Info'!$I$8</f>
        <v>Bapini</v>
      </c>
      <c r="L8" s="965"/>
      <c r="M8" s="966"/>
      <c r="N8" s="652"/>
      <c r="O8" s="947"/>
    </row>
    <row r="9" spans="1:24" ht="15.75" customHeight="1">
      <c r="A9" s="887"/>
      <c r="B9" s="65"/>
      <c r="C9" s="65"/>
      <c r="D9" s="933" t="s">
        <v>11</v>
      </c>
      <c r="E9" s="934"/>
      <c r="F9" s="935" t="str">
        <f>'School Info'!$D$9</f>
        <v>Raimalwada</v>
      </c>
      <c r="G9" s="936"/>
      <c r="H9" s="934" t="s">
        <v>19</v>
      </c>
      <c r="I9" s="934"/>
      <c r="J9" s="934"/>
      <c r="K9" s="964">
        <f>'School Info'!I13</f>
        <v>0</v>
      </c>
      <c r="L9" s="965"/>
      <c r="M9" s="966"/>
      <c r="N9" s="652"/>
    </row>
    <row r="10" spans="1:24" ht="15.75" customHeight="1">
      <c r="A10" s="887"/>
      <c r="B10" s="65"/>
      <c r="C10" s="65"/>
      <c r="D10" s="933" t="s">
        <v>74</v>
      </c>
      <c r="E10" s="934"/>
      <c r="F10" s="974" t="str">
        <f>'School Info'!$D$10</f>
        <v>SBI Osian</v>
      </c>
      <c r="G10" s="936"/>
      <c r="H10" s="934" t="s">
        <v>76</v>
      </c>
      <c r="I10" s="934"/>
      <c r="J10" s="934"/>
      <c r="K10" s="975">
        <f>'School Info'!$I$10</f>
        <v>0</v>
      </c>
      <c r="L10" s="965"/>
      <c r="M10" s="966"/>
      <c r="N10" s="652"/>
      <c r="O10" s="42"/>
    </row>
    <row r="11" spans="1:24" ht="15.75" customHeight="1">
      <c r="A11" s="887"/>
      <c r="B11" s="65"/>
      <c r="C11" s="65"/>
      <c r="D11" s="972" t="s">
        <v>77</v>
      </c>
      <c r="E11" s="973"/>
      <c r="F11" s="948" t="str">
        <f>'School Info'!$D$11</f>
        <v>SBIN0031206</v>
      </c>
      <c r="G11" s="949"/>
      <c r="H11" s="950" t="s">
        <v>79</v>
      </c>
      <c r="I11" s="950"/>
      <c r="J11" s="950"/>
      <c r="K11" s="975">
        <f>'School Info'!$I$11</f>
        <v>0</v>
      </c>
      <c r="L11" s="965"/>
      <c r="M11" s="966"/>
      <c r="N11" s="652"/>
      <c r="O11" s="42"/>
    </row>
    <row r="12" spans="1:24" ht="21.75" customHeight="1">
      <c r="A12" s="887"/>
      <c r="B12" s="65"/>
      <c r="C12" s="65"/>
      <c r="D12" s="959" t="s">
        <v>80</v>
      </c>
      <c r="E12" s="960"/>
      <c r="F12" s="948">
        <f>'School Info'!$D$12</f>
        <v>0</v>
      </c>
      <c r="G12" s="949"/>
      <c r="H12" s="961" t="s">
        <v>189</v>
      </c>
      <c r="I12" s="962"/>
      <c r="J12" s="963"/>
      <c r="K12" s="964">
        <f>'School Info'!D13</f>
        <v>0</v>
      </c>
      <c r="L12" s="965"/>
      <c r="M12" s="966"/>
      <c r="N12" s="652"/>
      <c r="O12" s="42"/>
    </row>
    <row r="13" spans="1:24" ht="22.5" customHeight="1">
      <c r="A13" s="887"/>
      <c r="B13" s="65"/>
      <c r="C13" s="65"/>
      <c r="D13" s="955" t="s">
        <v>240</v>
      </c>
      <c r="E13" s="956"/>
      <c r="F13" s="940" t="s">
        <v>232</v>
      </c>
      <c r="G13" s="937" t="s">
        <v>233</v>
      </c>
      <c r="H13" s="938"/>
      <c r="I13" s="939"/>
      <c r="J13" s="940" t="s">
        <v>236</v>
      </c>
      <c r="K13" s="937" t="s">
        <v>237</v>
      </c>
      <c r="L13" s="938"/>
      <c r="M13" s="939"/>
      <c r="N13" s="652"/>
      <c r="O13" s="42"/>
    </row>
    <row r="14" spans="1:24" ht="17.25" customHeight="1">
      <c r="A14" s="887"/>
      <c r="B14" s="65"/>
      <c r="C14" s="65"/>
      <c r="D14" s="955"/>
      <c r="E14" s="956"/>
      <c r="F14" s="941"/>
      <c r="G14" s="943" t="s">
        <v>234</v>
      </c>
      <c r="H14" s="944"/>
      <c r="I14" s="58" t="s">
        <v>235</v>
      </c>
      <c r="J14" s="941"/>
      <c r="K14" s="943" t="s">
        <v>238</v>
      </c>
      <c r="L14" s="944"/>
      <c r="M14" s="58" t="s">
        <v>239</v>
      </c>
      <c r="N14" s="652"/>
      <c r="O14" s="42"/>
    </row>
    <row r="15" spans="1:24" ht="29.25" customHeight="1" thickBot="1">
      <c r="A15" s="887"/>
      <c r="B15" s="65"/>
      <c r="C15" s="65"/>
      <c r="D15" s="957"/>
      <c r="E15" s="958"/>
      <c r="F15" s="942"/>
      <c r="G15" s="60" t="s">
        <v>241</v>
      </c>
      <c r="H15" s="60" t="s">
        <v>242</v>
      </c>
      <c r="I15" s="59" t="s">
        <v>243</v>
      </c>
      <c r="J15" s="942"/>
      <c r="K15" s="60" t="s">
        <v>241</v>
      </c>
      <c r="L15" s="60" t="s">
        <v>242</v>
      </c>
      <c r="M15" s="59" t="s">
        <v>243</v>
      </c>
      <c r="N15" s="652"/>
      <c r="O15" s="42"/>
    </row>
    <row r="16" spans="1:24" ht="21" customHeight="1">
      <c r="A16" s="887"/>
      <c r="B16" s="65" t="str">
        <f>IF('Food-Data Entry'!N7="खुला",'Food-Data Entry'!M7,'Food-Data Entry'!N7)</f>
        <v>Thursday</v>
      </c>
      <c r="C16" s="65" t="str">
        <f>'Food-Data Entry'!O7</f>
        <v>Thursday</v>
      </c>
      <c r="D16" s="61">
        <f>'Food-Data Entry'!L7</f>
        <v>44896</v>
      </c>
      <c r="E16" s="62" t="str">
        <f>CONCATENATE("(",B16,")")</f>
        <v>(Thursday)</v>
      </c>
      <c r="F16" s="137">
        <f>'Food-Data Entry'!Z7</f>
        <v>0</v>
      </c>
      <c r="G16" s="138">
        <f>'Food-Data Entry'!AW7</f>
        <v>0</v>
      </c>
      <c r="H16" s="138">
        <f>'Food-Data Entry'!AX7</f>
        <v>0</v>
      </c>
      <c r="I16" s="138">
        <f>'MIlk-Data Entry'!BB7</f>
        <v>0</v>
      </c>
      <c r="J16" s="137">
        <f>'Food-Data Entry'!AC7</f>
        <v>0</v>
      </c>
      <c r="K16" s="138">
        <f>'Food-Data Entry'!AY7</f>
        <v>0</v>
      </c>
      <c r="L16" s="138">
        <f>'Food-Data Entry'!AZ7</f>
        <v>0</v>
      </c>
      <c r="M16" s="139">
        <f>'MIlk-Data Entry'!BD7</f>
        <v>0</v>
      </c>
      <c r="N16" s="652"/>
      <c r="O16" s="42"/>
      <c r="Q16" s="18">
        <f>IF(F16&gt;0,1,0)</f>
        <v>0</v>
      </c>
      <c r="R16" s="18">
        <f t="shared" ref="R16:X31" si="0">IF(G16&gt;0,1,0)</f>
        <v>0</v>
      </c>
      <c r="S16" s="18">
        <f t="shared" si="0"/>
        <v>0</v>
      </c>
      <c r="T16" s="18">
        <f t="shared" si="0"/>
        <v>0</v>
      </c>
      <c r="U16" s="18">
        <f t="shared" si="0"/>
        <v>0</v>
      </c>
      <c r="V16" s="18">
        <f t="shared" si="0"/>
        <v>0</v>
      </c>
      <c r="W16" s="18">
        <f t="shared" si="0"/>
        <v>0</v>
      </c>
      <c r="X16" s="18">
        <f t="shared" si="0"/>
        <v>0</v>
      </c>
    </row>
    <row r="17" spans="1:24" ht="21" customHeight="1">
      <c r="A17" s="887"/>
      <c r="B17" s="65" t="str">
        <f>IF('Food-Data Entry'!N8="खुला",'Food-Data Entry'!M8,'Food-Data Entry'!N8)</f>
        <v>Friday</v>
      </c>
      <c r="C17" s="65" t="str">
        <f>'Food-Data Entry'!O8</f>
        <v>Friday</v>
      </c>
      <c r="D17" s="63">
        <f>'Food-Data Entry'!L8</f>
        <v>44897</v>
      </c>
      <c r="E17" s="64" t="str">
        <f t="shared" ref="E17:E45" si="1">CONCATENATE("(",B17,")")</f>
        <v>(Friday)</v>
      </c>
      <c r="F17" s="137">
        <f>'Food-Data Entry'!Z8</f>
        <v>0</v>
      </c>
      <c r="G17" s="138">
        <f>'Food-Data Entry'!AW8</f>
        <v>0</v>
      </c>
      <c r="H17" s="138">
        <f>'Food-Data Entry'!AX8</f>
        <v>0</v>
      </c>
      <c r="I17" s="138">
        <f>'MIlk-Data Entry'!BB8</f>
        <v>0.16499999999999998</v>
      </c>
      <c r="J17" s="137">
        <f>'Food-Data Entry'!AC8</f>
        <v>0</v>
      </c>
      <c r="K17" s="138">
        <f>'Food-Data Entry'!AY8</f>
        <v>0</v>
      </c>
      <c r="L17" s="138">
        <f>'Food-Data Entry'!AZ8</f>
        <v>0</v>
      </c>
      <c r="M17" s="139">
        <f>'MIlk-Data Entry'!BD8</f>
        <v>0.18</v>
      </c>
      <c r="N17" s="652"/>
      <c r="O17" s="42"/>
      <c r="Q17" s="18">
        <f t="shared" ref="Q17:Q46" si="2">IF(F17&gt;0,1,0)</f>
        <v>0</v>
      </c>
      <c r="R17" s="18">
        <f t="shared" si="0"/>
        <v>0</v>
      </c>
      <c r="S17" s="18">
        <f t="shared" si="0"/>
        <v>0</v>
      </c>
      <c r="T17" s="18">
        <f t="shared" si="0"/>
        <v>1</v>
      </c>
      <c r="U17" s="18">
        <f t="shared" si="0"/>
        <v>0</v>
      </c>
      <c r="V17" s="18">
        <f t="shared" si="0"/>
        <v>0</v>
      </c>
      <c r="W17" s="18">
        <f t="shared" si="0"/>
        <v>0</v>
      </c>
      <c r="X17" s="18">
        <f t="shared" si="0"/>
        <v>1</v>
      </c>
    </row>
    <row r="18" spans="1:24" ht="21" customHeight="1">
      <c r="A18" s="887"/>
      <c r="B18" s="65" t="str">
        <f>IF('Food-Data Entry'!N9="खुला",'Food-Data Entry'!M9,'Food-Data Entry'!N9)</f>
        <v>Saturday</v>
      </c>
      <c r="C18" s="65" t="str">
        <f>'Food-Data Entry'!O9</f>
        <v>Saturday</v>
      </c>
      <c r="D18" s="63">
        <f>'Food-Data Entry'!L9</f>
        <v>44898</v>
      </c>
      <c r="E18" s="64" t="str">
        <f t="shared" si="1"/>
        <v>(Saturday)</v>
      </c>
      <c r="F18" s="137">
        <f>'Food-Data Entry'!Z9</f>
        <v>0</v>
      </c>
      <c r="G18" s="138">
        <f>'Food-Data Entry'!AW9</f>
        <v>0</v>
      </c>
      <c r="H18" s="138">
        <f>'Food-Data Entry'!AX9</f>
        <v>0</v>
      </c>
      <c r="I18" s="138">
        <f>'MIlk-Data Entry'!BB9</f>
        <v>0</v>
      </c>
      <c r="J18" s="137">
        <f>'Food-Data Entry'!AC9</f>
        <v>0</v>
      </c>
      <c r="K18" s="138">
        <f>'Food-Data Entry'!AY9</f>
        <v>0</v>
      </c>
      <c r="L18" s="138">
        <f>'Food-Data Entry'!AZ9</f>
        <v>0</v>
      </c>
      <c r="M18" s="139">
        <f>'MIlk-Data Entry'!BD9</f>
        <v>0</v>
      </c>
      <c r="N18" s="652"/>
      <c r="O18" s="42"/>
      <c r="Q18" s="18">
        <f t="shared" si="2"/>
        <v>0</v>
      </c>
      <c r="R18" s="18">
        <f t="shared" si="0"/>
        <v>0</v>
      </c>
      <c r="S18" s="18">
        <f t="shared" si="0"/>
        <v>0</v>
      </c>
      <c r="T18" s="18">
        <f t="shared" si="0"/>
        <v>0</v>
      </c>
      <c r="U18" s="18">
        <f t="shared" si="0"/>
        <v>0</v>
      </c>
      <c r="V18" s="18">
        <f t="shared" si="0"/>
        <v>0</v>
      </c>
      <c r="W18" s="18">
        <f t="shared" si="0"/>
        <v>0</v>
      </c>
      <c r="X18" s="18">
        <f t="shared" si="0"/>
        <v>0</v>
      </c>
    </row>
    <row r="19" spans="1:24" ht="21" customHeight="1">
      <c r="A19" s="887"/>
      <c r="B19" s="65" t="str">
        <f>IF('Food-Data Entry'!N10="खुला",'Food-Data Entry'!M10,'Food-Data Entry'!N10)</f>
        <v>रवि॰अव॰</v>
      </c>
      <c r="C19" s="65" t="str">
        <f>'Food-Data Entry'!O10</f>
        <v>Holiday</v>
      </c>
      <c r="D19" s="63">
        <f>'Food-Data Entry'!L10</f>
        <v>44899</v>
      </c>
      <c r="E19" s="64" t="str">
        <f t="shared" si="1"/>
        <v>(रवि॰अव॰)</v>
      </c>
      <c r="F19" s="137">
        <f>'Food-Data Entry'!Z10</f>
        <v>0</v>
      </c>
      <c r="G19" s="138">
        <f>'Food-Data Entry'!AW10</f>
        <v>0</v>
      </c>
      <c r="H19" s="138">
        <f>'Food-Data Entry'!AX10</f>
        <v>0</v>
      </c>
      <c r="I19" s="138">
        <f>'MIlk-Data Entry'!BB10</f>
        <v>0</v>
      </c>
      <c r="J19" s="137">
        <f>'Food-Data Entry'!AC10</f>
        <v>0</v>
      </c>
      <c r="K19" s="138">
        <f>'Food-Data Entry'!AY10</f>
        <v>0</v>
      </c>
      <c r="L19" s="138">
        <f>'Food-Data Entry'!AZ10</f>
        <v>0</v>
      </c>
      <c r="M19" s="139">
        <f>'MIlk-Data Entry'!BD10</f>
        <v>0</v>
      </c>
      <c r="N19" s="652"/>
      <c r="O19" s="42"/>
      <c r="Q19" s="18">
        <f t="shared" si="2"/>
        <v>0</v>
      </c>
      <c r="R19" s="18">
        <f t="shared" si="0"/>
        <v>0</v>
      </c>
      <c r="S19" s="18">
        <f t="shared" si="0"/>
        <v>0</v>
      </c>
      <c r="T19" s="18">
        <f t="shared" si="0"/>
        <v>0</v>
      </c>
      <c r="U19" s="18">
        <f t="shared" si="0"/>
        <v>0</v>
      </c>
      <c r="V19" s="18">
        <f t="shared" si="0"/>
        <v>0</v>
      </c>
      <c r="W19" s="18">
        <f t="shared" si="0"/>
        <v>0</v>
      </c>
      <c r="X19" s="18">
        <f t="shared" si="0"/>
        <v>0</v>
      </c>
    </row>
    <row r="20" spans="1:24" ht="21" customHeight="1">
      <c r="A20" s="887"/>
      <c r="B20" s="65" t="str">
        <f>IF('Food-Data Entry'!N11="खुला",'Food-Data Entry'!M11,'Food-Data Entry'!N11)</f>
        <v>Monday</v>
      </c>
      <c r="C20" s="65" t="str">
        <f>'Food-Data Entry'!O11</f>
        <v>Monday</v>
      </c>
      <c r="D20" s="63">
        <f>'Food-Data Entry'!L11</f>
        <v>44900</v>
      </c>
      <c r="E20" s="64" t="str">
        <f t="shared" si="1"/>
        <v>(Monday)</v>
      </c>
      <c r="F20" s="137">
        <f>'Food-Data Entry'!Z11</f>
        <v>0</v>
      </c>
      <c r="G20" s="138">
        <f>'Food-Data Entry'!AW11</f>
        <v>0</v>
      </c>
      <c r="H20" s="138">
        <f>'Food-Data Entry'!AX11</f>
        <v>0</v>
      </c>
      <c r="I20" s="138">
        <f>'MIlk-Data Entry'!BB11</f>
        <v>0</v>
      </c>
      <c r="J20" s="137">
        <f>'Food-Data Entry'!AC11</f>
        <v>0</v>
      </c>
      <c r="K20" s="138">
        <f>'Food-Data Entry'!AY11</f>
        <v>0</v>
      </c>
      <c r="L20" s="138">
        <f>'Food-Data Entry'!AZ11</f>
        <v>0</v>
      </c>
      <c r="M20" s="139">
        <f>'MIlk-Data Entry'!BD11</f>
        <v>0</v>
      </c>
      <c r="N20" s="652"/>
      <c r="O20" s="42"/>
      <c r="Q20" s="18">
        <f t="shared" si="2"/>
        <v>0</v>
      </c>
      <c r="R20" s="18">
        <f t="shared" si="0"/>
        <v>0</v>
      </c>
      <c r="S20" s="18">
        <f t="shared" si="0"/>
        <v>0</v>
      </c>
      <c r="T20" s="18">
        <f t="shared" si="0"/>
        <v>0</v>
      </c>
      <c r="U20" s="18">
        <f t="shared" si="0"/>
        <v>0</v>
      </c>
      <c r="V20" s="18">
        <f t="shared" si="0"/>
        <v>0</v>
      </c>
      <c r="W20" s="18">
        <f t="shared" si="0"/>
        <v>0</v>
      </c>
      <c r="X20" s="18">
        <f t="shared" si="0"/>
        <v>0</v>
      </c>
    </row>
    <row r="21" spans="1:24" ht="21" customHeight="1">
      <c r="A21" s="887"/>
      <c r="B21" s="65" t="str">
        <f>IF('Food-Data Entry'!N12="खुला",'Food-Data Entry'!M12,'Food-Data Entry'!N12)</f>
        <v>Tuesday</v>
      </c>
      <c r="C21" s="65" t="str">
        <f>'Food-Data Entry'!O12</f>
        <v>Tuesday</v>
      </c>
      <c r="D21" s="63">
        <f>'Food-Data Entry'!L12</f>
        <v>44901</v>
      </c>
      <c r="E21" s="64" t="str">
        <f t="shared" si="1"/>
        <v>(Tuesday)</v>
      </c>
      <c r="F21" s="137">
        <f>'Food-Data Entry'!Z12</f>
        <v>0</v>
      </c>
      <c r="G21" s="138">
        <f>'Food-Data Entry'!AW12</f>
        <v>0</v>
      </c>
      <c r="H21" s="138">
        <f>'Food-Data Entry'!AX12</f>
        <v>0</v>
      </c>
      <c r="I21" s="138">
        <f>'MIlk-Data Entry'!BB12</f>
        <v>0</v>
      </c>
      <c r="J21" s="137">
        <f>'Food-Data Entry'!AC12</f>
        <v>0</v>
      </c>
      <c r="K21" s="138">
        <f>'Food-Data Entry'!AY12</f>
        <v>0</v>
      </c>
      <c r="L21" s="138">
        <f>'Food-Data Entry'!AZ12</f>
        <v>0</v>
      </c>
      <c r="M21" s="139">
        <f>'MIlk-Data Entry'!BD12</f>
        <v>0</v>
      </c>
      <c r="N21" s="652"/>
      <c r="O21" s="42"/>
      <c r="P21" s="42"/>
      <c r="Q21" s="18">
        <f t="shared" si="2"/>
        <v>0</v>
      </c>
      <c r="R21" s="18">
        <f t="shared" si="0"/>
        <v>0</v>
      </c>
      <c r="S21" s="18">
        <f t="shared" si="0"/>
        <v>0</v>
      </c>
      <c r="T21" s="18">
        <f t="shared" si="0"/>
        <v>0</v>
      </c>
      <c r="U21" s="18">
        <f t="shared" si="0"/>
        <v>0</v>
      </c>
      <c r="V21" s="18">
        <f t="shared" si="0"/>
        <v>0</v>
      </c>
      <c r="W21" s="18">
        <f t="shared" si="0"/>
        <v>0</v>
      </c>
      <c r="X21" s="18">
        <f t="shared" si="0"/>
        <v>0</v>
      </c>
    </row>
    <row r="22" spans="1:24" ht="21" customHeight="1">
      <c r="A22" s="887"/>
      <c r="B22" s="65" t="str">
        <f>IF('Food-Data Entry'!N13="खुला",'Food-Data Entry'!M13,'Food-Data Entry'!N13)</f>
        <v>Wednesday</v>
      </c>
      <c r="C22" s="65" t="str">
        <f>'Food-Data Entry'!O13</f>
        <v>Wednesday</v>
      </c>
      <c r="D22" s="63">
        <f>'Food-Data Entry'!L13</f>
        <v>44902</v>
      </c>
      <c r="E22" s="64" t="str">
        <f t="shared" si="1"/>
        <v>(Wednesday)</v>
      </c>
      <c r="F22" s="137">
        <f>'Food-Data Entry'!Z13</f>
        <v>0</v>
      </c>
      <c r="G22" s="138">
        <f>'Food-Data Entry'!AW13</f>
        <v>0</v>
      </c>
      <c r="H22" s="138">
        <f>'Food-Data Entry'!AX13</f>
        <v>0</v>
      </c>
      <c r="I22" s="138">
        <f>'MIlk-Data Entry'!BB13</f>
        <v>0</v>
      </c>
      <c r="J22" s="137">
        <f>'Food-Data Entry'!AC13</f>
        <v>0</v>
      </c>
      <c r="K22" s="138">
        <f>'Food-Data Entry'!AY13</f>
        <v>0</v>
      </c>
      <c r="L22" s="138">
        <f>'Food-Data Entry'!AZ13</f>
        <v>0</v>
      </c>
      <c r="M22" s="139">
        <f>'MIlk-Data Entry'!BD13</f>
        <v>0</v>
      </c>
      <c r="N22" s="652"/>
      <c r="O22" s="42"/>
      <c r="P22" s="42"/>
      <c r="Q22" s="18">
        <f t="shared" si="2"/>
        <v>0</v>
      </c>
      <c r="R22" s="18">
        <f t="shared" si="0"/>
        <v>0</v>
      </c>
      <c r="S22" s="18">
        <f t="shared" si="0"/>
        <v>0</v>
      </c>
      <c r="T22" s="18">
        <f t="shared" si="0"/>
        <v>0</v>
      </c>
      <c r="U22" s="18">
        <f t="shared" si="0"/>
        <v>0</v>
      </c>
      <c r="V22" s="18">
        <f t="shared" si="0"/>
        <v>0</v>
      </c>
      <c r="W22" s="18">
        <f t="shared" si="0"/>
        <v>0</v>
      </c>
      <c r="X22" s="18">
        <f t="shared" si="0"/>
        <v>0</v>
      </c>
    </row>
    <row r="23" spans="1:24" ht="21" customHeight="1">
      <c r="A23" s="887"/>
      <c r="B23" s="65" t="str">
        <f>IF('Food-Data Entry'!N14="खुला",'Food-Data Entry'!M14,'Food-Data Entry'!N14)</f>
        <v>Thursday</v>
      </c>
      <c r="C23" s="65" t="str">
        <f>'Food-Data Entry'!O14</f>
        <v>Thursday</v>
      </c>
      <c r="D23" s="63">
        <f>'Food-Data Entry'!L14</f>
        <v>44903</v>
      </c>
      <c r="E23" s="64" t="str">
        <f t="shared" si="1"/>
        <v>(Thursday)</v>
      </c>
      <c r="F23" s="137">
        <f>'Food-Data Entry'!Z14</f>
        <v>0</v>
      </c>
      <c r="G23" s="138">
        <f>'Food-Data Entry'!AW14</f>
        <v>0</v>
      </c>
      <c r="H23" s="138">
        <f>'Food-Data Entry'!AX14</f>
        <v>0</v>
      </c>
      <c r="I23" s="138">
        <f>'MIlk-Data Entry'!BB14</f>
        <v>0</v>
      </c>
      <c r="J23" s="137">
        <f>'Food-Data Entry'!AC14</f>
        <v>0</v>
      </c>
      <c r="K23" s="138">
        <f>'Food-Data Entry'!AY14</f>
        <v>0</v>
      </c>
      <c r="L23" s="138">
        <f>'Food-Data Entry'!AZ14</f>
        <v>0</v>
      </c>
      <c r="M23" s="139">
        <f>'MIlk-Data Entry'!BD14</f>
        <v>0</v>
      </c>
      <c r="N23" s="652"/>
      <c r="O23" s="42"/>
      <c r="P23" s="42"/>
      <c r="Q23" s="18">
        <f t="shared" si="2"/>
        <v>0</v>
      </c>
      <c r="R23" s="18">
        <f t="shared" si="0"/>
        <v>0</v>
      </c>
      <c r="S23" s="18">
        <f t="shared" si="0"/>
        <v>0</v>
      </c>
      <c r="T23" s="18">
        <f t="shared" si="0"/>
        <v>0</v>
      </c>
      <c r="U23" s="18">
        <f t="shared" si="0"/>
        <v>0</v>
      </c>
      <c r="V23" s="18">
        <f t="shared" si="0"/>
        <v>0</v>
      </c>
      <c r="W23" s="18">
        <f t="shared" si="0"/>
        <v>0</v>
      </c>
      <c r="X23" s="18">
        <f t="shared" si="0"/>
        <v>0</v>
      </c>
    </row>
    <row r="24" spans="1:24" ht="21" customHeight="1">
      <c r="A24" s="887"/>
      <c r="B24" s="65" t="str">
        <f>IF('Food-Data Entry'!N15="खुला",'Food-Data Entry'!M15,'Food-Data Entry'!N15)</f>
        <v>Friday</v>
      </c>
      <c r="C24" s="65" t="str">
        <f>'Food-Data Entry'!O15</f>
        <v>Friday</v>
      </c>
      <c r="D24" s="63">
        <f>'Food-Data Entry'!L15</f>
        <v>44904</v>
      </c>
      <c r="E24" s="64" t="str">
        <f t="shared" si="1"/>
        <v>(Friday)</v>
      </c>
      <c r="F24" s="137">
        <f>'Food-Data Entry'!Z15</f>
        <v>0</v>
      </c>
      <c r="G24" s="138">
        <f>'Food-Data Entry'!AW15</f>
        <v>0</v>
      </c>
      <c r="H24" s="138">
        <f>'Food-Data Entry'!AX15</f>
        <v>0</v>
      </c>
      <c r="I24" s="138">
        <f>'MIlk-Data Entry'!BB15</f>
        <v>0</v>
      </c>
      <c r="J24" s="137">
        <f>'Food-Data Entry'!AC15</f>
        <v>0</v>
      </c>
      <c r="K24" s="138">
        <f>'Food-Data Entry'!AY15</f>
        <v>0</v>
      </c>
      <c r="L24" s="138">
        <f>'Food-Data Entry'!AZ15</f>
        <v>0</v>
      </c>
      <c r="M24" s="139">
        <f>'MIlk-Data Entry'!BD15</f>
        <v>0</v>
      </c>
      <c r="N24" s="652"/>
      <c r="O24" s="42"/>
      <c r="P24" s="42"/>
      <c r="Q24" s="18">
        <f t="shared" si="2"/>
        <v>0</v>
      </c>
      <c r="R24" s="18">
        <f t="shared" si="0"/>
        <v>0</v>
      </c>
      <c r="S24" s="18">
        <f t="shared" si="0"/>
        <v>0</v>
      </c>
      <c r="T24" s="18">
        <f t="shared" si="0"/>
        <v>0</v>
      </c>
      <c r="U24" s="18">
        <f t="shared" si="0"/>
        <v>0</v>
      </c>
      <c r="V24" s="18">
        <f t="shared" si="0"/>
        <v>0</v>
      </c>
      <c r="W24" s="18">
        <f t="shared" si="0"/>
        <v>0</v>
      </c>
      <c r="X24" s="18">
        <f t="shared" si="0"/>
        <v>0</v>
      </c>
    </row>
    <row r="25" spans="1:24" ht="21" customHeight="1">
      <c r="A25" s="887"/>
      <c r="B25" s="65" t="str">
        <f>IF('Food-Data Entry'!N16="खुला",'Food-Data Entry'!M16,'Food-Data Entry'!N16)</f>
        <v>Saturday</v>
      </c>
      <c r="C25" s="65" t="str">
        <f>'Food-Data Entry'!O16</f>
        <v>Saturday</v>
      </c>
      <c r="D25" s="63">
        <f>'Food-Data Entry'!L16</f>
        <v>44905</v>
      </c>
      <c r="E25" s="64" t="str">
        <f t="shared" si="1"/>
        <v>(Saturday)</v>
      </c>
      <c r="F25" s="137">
        <f>'Food-Data Entry'!Z16</f>
        <v>0</v>
      </c>
      <c r="G25" s="138">
        <f>'Food-Data Entry'!AW16</f>
        <v>0</v>
      </c>
      <c r="H25" s="138">
        <f>'Food-Data Entry'!AX16</f>
        <v>0</v>
      </c>
      <c r="I25" s="138">
        <f>'MIlk-Data Entry'!BB16</f>
        <v>0</v>
      </c>
      <c r="J25" s="137">
        <f>'Food-Data Entry'!AC16</f>
        <v>0</v>
      </c>
      <c r="K25" s="138">
        <f>'Food-Data Entry'!AY16</f>
        <v>0</v>
      </c>
      <c r="L25" s="138">
        <f>'Food-Data Entry'!AZ16</f>
        <v>0</v>
      </c>
      <c r="M25" s="139">
        <f>'MIlk-Data Entry'!BD16</f>
        <v>0</v>
      </c>
      <c r="N25" s="652"/>
      <c r="O25" s="42"/>
      <c r="P25" s="42"/>
      <c r="Q25" s="18">
        <f t="shared" si="2"/>
        <v>0</v>
      </c>
      <c r="R25" s="18">
        <f t="shared" si="0"/>
        <v>0</v>
      </c>
      <c r="S25" s="18">
        <f t="shared" si="0"/>
        <v>0</v>
      </c>
      <c r="T25" s="18">
        <f t="shared" si="0"/>
        <v>0</v>
      </c>
      <c r="U25" s="18">
        <f t="shared" si="0"/>
        <v>0</v>
      </c>
      <c r="V25" s="18">
        <f t="shared" si="0"/>
        <v>0</v>
      </c>
      <c r="W25" s="18">
        <f t="shared" si="0"/>
        <v>0</v>
      </c>
      <c r="X25" s="18">
        <f t="shared" si="0"/>
        <v>0</v>
      </c>
    </row>
    <row r="26" spans="1:24" ht="21" customHeight="1">
      <c r="A26" s="887"/>
      <c r="B26" s="65" t="str">
        <f>IF('Food-Data Entry'!N17="खुला",'Food-Data Entry'!M17,'Food-Data Entry'!N17)</f>
        <v>रवि॰अव॰</v>
      </c>
      <c r="C26" s="65" t="str">
        <f>'Food-Data Entry'!O17</f>
        <v>Holiday</v>
      </c>
      <c r="D26" s="63">
        <f>'Food-Data Entry'!L17</f>
        <v>44906</v>
      </c>
      <c r="E26" s="64" t="str">
        <f t="shared" si="1"/>
        <v>(रवि॰अव॰)</v>
      </c>
      <c r="F26" s="137">
        <f>'Food-Data Entry'!Z17</f>
        <v>0</v>
      </c>
      <c r="G26" s="138">
        <f>'Food-Data Entry'!AW17</f>
        <v>0</v>
      </c>
      <c r="H26" s="138">
        <f>'Food-Data Entry'!AX17</f>
        <v>0</v>
      </c>
      <c r="I26" s="138">
        <f>'MIlk-Data Entry'!BB17</f>
        <v>0</v>
      </c>
      <c r="J26" s="137">
        <f>'Food-Data Entry'!AC17</f>
        <v>0</v>
      </c>
      <c r="K26" s="138">
        <f>'Food-Data Entry'!AY17</f>
        <v>0</v>
      </c>
      <c r="L26" s="138">
        <f>'Food-Data Entry'!AZ17</f>
        <v>0</v>
      </c>
      <c r="M26" s="139">
        <f>'MIlk-Data Entry'!BD17</f>
        <v>0</v>
      </c>
      <c r="N26" s="652"/>
      <c r="O26" s="42"/>
      <c r="P26" s="42"/>
      <c r="Q26" s="18">
        <f t="shared" si="2"/>
        <v>0</v>
      </c>
      <c r="R26" s="18">
        <f t="shared" si="0"/>
        <v>0</v>
      </c>
      <c r="S26" s="18">
        <f t="shared" si="0"/>
        <v>0</v>
      </c>
      <c r="T26" s="18">
        <f t="shared" si="0"/>
        <v>0</v>
      </c>
      <c r="U26" s="18">
        <f t="shared" si="0"/>
        <v>0</v>
      </c>
      <c r="V26" s="18">
        <f t="shared" si="0"/>
        <v>0</v>
      </c>
      <c r="W26" s="18">
        <f t="shared" si="0"/>
        <v>0</v>
      </c>
      <c r="X26" s="18">
        <f t="shared" si="0"/>
        <v>0</v>
      </c>
    </row>
    <row r="27" spans="1:24" ht="21" customHeight="1">
      <c r="A27" s="887"/>
      <c r="B27" s="65" t="str">
        <f>IF('Food-Data Entry'!N18="खुला",'Food-Data Entry'!M18,'Food-Data Entry'!N18)</f>
        <v>Monday</v>
      </c>
      <c r="C27" s="65" t="str">
        <f>'Food-Data Entry'!O18</f>
        <v>Monday</v>
      </c>
      <c r="D27" s="63">
        <f>'Food-Data Entry'!L18</f>
        <v>44907</v>
      </c>
      <c r="E27" s="64" t="str">
        <f t="shared" si="1"/>
        <v>(Monday)</v>
      </c>
      <c r="F27" s="137">
        <f>'Food-Data Entry'!Z18</f>
        <v>0</v>
      </c>
      <c r="G27" s="138">
        <f>'Food-Data Entry'!AW18</f>
        <v>0</v>
      </c>
      <c r="H27" s="138">
        <f>'Food-Data Entry'!AX18</f>
        <v>0</v>
      </c>
      <c r="I27" s="138">
        <f>'MIlk-Data Entry'!BB18</f>
        <v>0</v>
      </c>
      <c r="J27" s="137">
        <f>'Food-Data Entry'!AC18</f>
        <v>0</v>
      </c>
      <c r="K27" s="138">
        <f>'Food-Data Entry'!AY18</f>
        <v>0</v>
      </c>
      <c r="L27" s="138">
        <f>'Food-Data Entry'!AZ18</f>
        <v>0</v>
      </c>
      <c r="M27" s="139">
        <f>'MIlk-Data Entry'!BD18</f>
        <v>0</v>
      </c>
      <c r="N27" s="652"/>
      <c r="O27" s="42"/>
      <c r="P27" s="42"/>
      <c r="Q27" s="18">
        <f t="shared" si="2"/>
        <v>0</v>
      </c>
      <c r="R27" s="18">
        <f t="shared" si="0"/>
        <v>0</v>
      </c>
      <c r="S27" s="18">
        <f t="shared" si="0"/>
        <v>0</v>
      </c>
      <c r="T27" s="18">
        <f t="shared" si="0"/>
        <v>0</v>
      </c>
      <c r="U27" s="18">
        <f t="shared" si="0"/>
        <v>0</v>
      </c>
      <c r="V27" s="18">
        <f t="shared" si="0"/>
        <v>0</v>
      </c>
      <c r="W27" s="18">
        <f t="shared" si="0"/>
        <v>0</v>
      </c>
      <c r="X27" s="18">
        <f t="shared" si="0"/>
        <v>0</v>
      </c>
    </row>
    <row r="28" spans="1:24" ht="21" customHeight="1">
      <c r="A28" s="887"/>
      <c r="B28" s="65" t="str">
        <f>IF('Food-Data Entry'!N19="खुला",'Food-Data Entry'!M19,'Food-Data Entry'!N19)</f>
        <v>Tuesday</v>
      </c>
      <c r="C28" s="65" t="str">
        <f>'Food-Data Entry'!O19</f>
        <v>Tuesday</v>
      </c>
      <c r="D28" s="63">
        <f>'Food-Data Entry'!L19</f>
        <v>44908</v>
      </c>
      <c r="E28" s="64" t="str">
        <f t="shared" si="1"/>
        <v>(Tuesday)</v>
      </c>
      <c r="F28" s="137">
        <f>'Food-Data Entry'!Z19</f>
        <v>0</v>
      </c>
      <c r="G28" s="138">
        <f>'Food-Data Entry'!AW19</f>
        <v>0</v>
      </c>
      <c r="H28" s="138">
        <f>'Food-Data Entry'!AX19</f>
        <v>0</v>
      </c>
      <c r="I28" s="138">
        <f>'MIlk-Data Entry'!BB19</f>
        <v>0</v>
      </c>
      <c r="J28" s="137">
        <f>'Food-Data Entry'!AC19</f>
        <v>0</v>
      </c>
      <c r="K28" s="138">
        <f>'Food-Data Entry'!AY19</f>
        <v>0</v>
      </c>
      <c r="L28" s="138">
        <f>'Food-Data Entry'!AZ19</f>
        <v>0</v>
      </c>
      <c r="M28" s="139">
        <f>'MIlk-Data Entry'!BD19</f>
        <v>0</v>
      </c>
      <c r="N28" s="652"/>
      <c r="O28" s="42"/>
      <c r="P28" s="42"/>
      <c r="Q28" s="18">
        <f t="shared" si="2"/>
        <v>0</v>
      </c>
      <c r="R28" s="18">
        <f t="shared" si="0"/>
        <v>0</v>
      </c>
      <c r="S28" s="18">
        <f t="shared" si="0"/>
        <v>0</v>
      </c>
      <c r="T28" s="18">
        <f t="shared" si="0"/>
        <v>0</v>
      </c>
      <c r="U28" s="18">
        <f t="shared" si="0"/>
        <v>0</v>
      </c>
      <c r="V28" s="18">
        <f t="shared" si="0"/>
        <v>0</v>
      </c>
      <c r="W28" s="18">
        <f t="shared" si="0"/>
        <v>0</v>
      </c>
      <c r="X28" s="18">
        <f t="shared" si="0"/>
        <v>0</v>
      </c>
    </row>
    <row r="29" spans="1:24" ht="21" customHeight="1">
      <c r="A29" s="887"/>
      <c r="B29" s="65" t="str">
        <f>IF('Food-Data Entry'!N20="खुला",'Food-Data Entry'!M20,'Food-Data Entry'!N20)</f>
        <v>Wednesday</v>
      </c>
      <c r="C29" s="65" t="str">
        <f>'Food-Data Entry'!O20</f>
        <v>Wednesday</v>
      </c>
      <c r="D29" s="63">
        <f>'Food-Data Entry'!L20</f>
        <v>44909</v>
      </c>
      <c r="E29" s="64" t="str">
        <f t="shared" si="1"/>
        <v>(Wednesday)</v>
      </c>
      <c r="F29" s="137">
        <f>'Food-Data Entry'!Z20</f>
        <v>0</v>
      </c>
      <c r="G29" s="138">
        <f>'Food-Data Entry'!AW20</f>
        <v>0</v>
      </c>
      <c r="H29" s="138">
        <f>'Food-Data Entry'!AX20</f>
        <v>0</v>
      </c>
      <c r="I29" s="138">
        <f>'MIlk-Data Entry'!BB20</f>
        <v>0</v>
      </c>
      <c r="J29" s="137">
        <f>'Food-Data Entry'!AC20</f>
        <v>0</v>
      </c>
      <c r="K29" s="138">
        <f>'Food-Data Entry'!AY20</f>
        <v>0</v>
      </c>
      <c r="L29" s="138">
        <f>'Food-Data Entry'!AZ20</f>
        <v>0</v>
      </c>
      <c r="M29" s="139">
        <f>'MIlk-Data Entry'!BD20</f>
        <v>0</v>
      </c>
      <c r="N29" s="652"/>
      <c r="O29" s="42"/>
      <c r="P29" s="42"/>
      <c r="Q29" s="18">
        <f t="shared" si="2"/>
        <v>0</v>
      </c>
      <c r="R29" s="18">
        <f t="shared" si="0"/>
        <v>0</v>
      </c>
      <c r="S29" s="18">
        <f t="shared" si="0"/>
        <v>0</v>
      </c>
      <c r="T29" s="18">
        <f t="shared" si="0"/>
        <v>0</v>
      </c>
      <c r="U29" s="18">
        <f t="shared" si="0"/>
        <v>0</v>
      </c>
      <c r="V29" s="18">
        <f t="shared" si="0"/>
        <v>0</v>
      </c>
      <c r="W29" s="18">
        <f t="shared" si="0"/>
        <v>0</v>
      </c>
      <c r="X29" s="18">
        <f t="shared" si="0"/>
        <v>0</v>
      </c>
    </row>
    <row r="30" spans="1:24" ht="21" customHeight="1">
      <c r="A30" s="887"/>
      <c r="B30" s="65" t="str">
        <f>IF('Food-Data Entry'!N21="खुला",'Food-Data Entry'!M21,'Food-Data Entry'!N21)</f>
        <v>Thursday</v>
      </c>
      <c r="C30" s="65" t="str">
        <f>'Food-Data Entry'!O21</f>
        <v>Thursday</v>
      </c>
      <c r="D30" s="63">
        <f>'Food-Data Entry'!L21</f>
        <v>44910</v>
      </c>
      <c r="E30" s="64" t="str">
        <f t="shared" si="1"/>
        <v>(Thursday)</v>
      </c>
      <c r="F30" s="137">
        <f>'Food-Data Entry'!Z21</f>
        <v>0</v>
      </c>
      <c r="G30" s="138">
        <f>'Food-Data Entry'!AW21</f>
        <v>0</v>
      </c>
      <c r="H30" s="138">
        <f>'Food-Data Entry'!AX21</f>
        <v>0</v>
      </c>
      <c r="I30" s="138">
        <f>'MIlk-Data Entry'!BB21</f>
        <v>0</v>
      </c>
      <c r="J30" s="137">
        <f>'Food-Data Entry'!AC21</f>
        <v>0</v>
      </c>
      <c r="K30" s="138">
        <f>'Food-Data Entry'!AY21</f>
        <v>0</v>
      </c>
      <c r="L30" s="138">
        <f>'Food-Data Entry'!AZ21</f>
        <v>0</v>
      </c>
      <c r="M30" s="139">
        <f>'MIlk-Data Entry'!BD21</f>
        <v>0</v>
      </c>
      <c r="N30" s="652"/>
      <c r="O30" s="42"/>
      <c r="P30" s="42"/>
      <c r="Q30" s="18">
        <f t="shared" si="2"/>
        <v>0</v>
      </c>
      <c r="R30" s="18">
        <f t="shared" si="0"/>
        <v>0</v>
      </c>
      <c r="S30" s="18">
        <f t="shared" si="0"/>
        <v>0</v>
      </c>
      <c r="T30" s="18">
        <f t="shared" si="0"/>
        <v>0</v>
      </c>
      <c r="U30" s="18">
        <f t="shared" si="0"/>
        <v>0</v>
      </c>
      <c r="V30" s="18">
        <f t="shared" si="0"/>
        <v>0</v>
      </c>
      <c r="W30" s="18">
        <f t="shared" si="0"/>
        <v>0</v>
      </c>
      <c r="X30" s="18">
        <f t="shared" si="0"/>
        <v>0</v>
      </c>
    </row>
    <row r="31" spans="1:24" ht="21" customHeight="1">
      <c r="A31" s="887"/>
      <c r="B31" s="65" t="str">
        <f>IF('Food-Data Entry'!N22="खुला",'Food-Data Entry'!M22,'Food-Data Entry'!N22)</f>
        <v>Friday</v>
      </c>
      <c r="C31" s="65" t="str">
        <f>'Food-Data Entry'!O22</f>
        <v>Friday</v>
      </c>
      <c r="D31" s="63">
        <f>'Food-Data Entry'!L22</f>
        <v>44911</v>
      </c>
      <c r="E31" s="64" t="str">
        <f t="shared" si="1"/>
        <v>(Friday)</v>
      </c>
      <c r="F31" s="137">
        <f>'Food-Data Entry'!Z22</f>
        <v>0</v>
      </c>
      <c r="G31" s="138">
        <f>'Food-Data Entry'!AW22</f>
        <v>0</v>
      </c>
      <c r="H31" s="138">
        <f>'Food-Data Entry'!AX22</f>
        <v>0</v>
      </c>
      <c r="I31" s="138">
        <f>'MIlk-Data Entry'!BB22</f>
        <v>0</v>
      </c>
      <c r="J31" s="137">
        <f>'Food-Data Entry'!AC22</f>
        <v>0</v>
      </c>
      <c r="K31" s="138">
        <f>'Food-Data Entry'!AY22</f>
        <v>0</v>
      </c>
      <c r="L31" s="138">
        <f>'Food-Data Entry'!AZ22</f>
        <v>0</v>
      </c>
      <c r="M31" s="139">
        <f>'MIlk-Data Entry'!BD22</f>
        <v>0</v>
      </c>
      <c r="N31" s="652"/>
      <c r="O31" s="42"/>
      <c r="P31" s="42"/>
      <c r="Q31" s="18">
        <f t="shared" si="2"/>
        <v>0</v>
      </c>
      <c r="R31" s="18">
        <f t="shared" si="0"/>
        <v>0</v>
      </c>
      <c r="S31" s="18">
        <f t="shared" si="0"/>
        <v>0</v>
      </c>
      <c r="T31" s="18">
        <f t="shared" si="0"/>
        <v>0</v>
      </c>
      <c r="U31" s="18">
        <f t="shared" si="0"/>
        <v>0</v>
      </c>
      <c r="V31" s="18">
        <f t="shared" si="0"/>
        <v>0</v>
      </c>
      <c r="W31" s="18">
        <f t="shared" si="0"/>
        <v>0</v>
      </c>
      <c r="X31" s="18">
        <f t="shared" si="0"/>
        <v>0</v>
      </c>
    </row>
    <row r="32" spans="1:24" ht="21" customHeight="1">
      <c r="A32" s="887"/>
      <c r="B32" s="65" t="str">
        <f>IF('Food-Data Entry'!N23="खुला",'Food-Data Entry'!M23,'Food-Data Entry'!N23)</f>
        <v>Saturday</v>
      </c>
      <c r="C32" s="65" t="str">
        <f>'Food-Data Entry'!O23</f>
        <v>Saturday</v>
      </c>
      <c r="D32" s="63">
        <f>'Food-Data Entry'!L23</f>
        <v>44912</v>
      </c>
      <c r="E32" s="64" t="str">
        <f t="shared" si="1"/>
        <v>(Saturday)</v>
      </c>
      <c r="F32" s="137">
        <f>'Food-Data Entry'!Z23</f>
        <v>0</v>
      </c>
      <c r="G32" s="138">
        <f>'Food-Data Entry'!AW23</f>
        <v>0</v>
      </c>
      <c r="H32" s="138">
        <f>'Food-Data Entry'!AX23</f>
        <v>0</v>
      </c>
      <c r="I32" s="138">
        <f>'MIlk-Data Entry'!BB23</f>
        <v>0</v>
      </c>
      <c r="J32" s="137">
        <f>'Food-Data Entry'!AC23</f>
        <v>0</v>
      </c>
      <c r="K32" s="138">
        <f>'Food-Data Entry'!AY23</f>
        <v>0</v>
      </c>
      <c r="L32" s="138">
        <f>'Food-Data Entry'!AZ23</f>
        <v>0</v>
      </c>
      <c r="M32" s="139">
        <f>'MIlk-Data Entry'!BD23</f>
        <v>0</v>
      </c>
      <c r="N32" s="652"/>
      <c r="O32" s="42"/>
      <c r="P32" s="42"/>
      <c r="Q32" s="18">
        <f t="shared" si="2"/>
        <v>0</v>
      </c>
      <c r="R32" s="18">
        <f t="shared" ref="R32:R46" si="3">IF(G32&gt;0,1,0)</f>
        <v>0</v>
      </c>
      <c r="S32" s="18">
        <f t="shared" ref="S32:S46" si="4">IF(H32&gt;0,1,0)</f>
        <v>0</v>
      </c>
      <c r="T32" s="18">
        <f t="shared" ref="T32:T46" si="5">IF(I32&gt;0,1,0)</f>
        <v>0</v>
      </c>
      <c r="U32" s="18">
        <f t="shared" ref="U32:U46" si="6">IF(J32&gt;0,1,0)</f>
        <v>0</v>
      </c>
      <c r="V32" s="18">
        <f t="shared" ref="V32:V46" si="7">IF(K32&gt;0,1,0)</f>
        <v>0</v>
      </c>
      <c r="W32" s="18">
        <f t="shared" ref="W32:W46" si="8">IF(L32&gt;0,1,0)</f>
        <v>0</v>
      </c>
      <c r="X32" s="18">
        <f t="shared" ref="X32:X46" si="9">IF(M32&gt;0,1,0)</f>
        <v>0</v>
      </c>
    </row>
    <row r="33" spans="1:24" ht="21" customHeight="1">
      <c r="A33" s="887"/>
      <c r="B33" s="65" t="str">
        <f>IF('Food-Data Entry'!N24="खुला",'Food-Data Entry'!M24,'Food-Data Entry'!N24)</f>
        <v>रवि॰अव॰</v>
      </c>
      <c r="C33" s="65" t="str">
        <f>'Food-Data Entry'!O24</f>
        <v>Holiday</v>
      </c>
      <c r="D33" s="63">
        <f>'Food-Data Entry'!L24</f>
        <v>44913</v>
      </c>
      <c r="E33" s="64" t="str">
        <f t="shared" si="1"/>
        <v>(रवि॰अव॰)</v>
      </c>
      <c r="F33" s="137">
        <f>'Food-Data Entry'!Z24</f>
        <v>0</v>
      </c>
      <c r="G33" s="138">
        <f>'Food-Data Entry'!AW24</f>
        <v>0</v>
      </c>
      <c r="H33" s="138">
        <f>'Food-Data Entry'!AX24</f>
        <v>0</v>
      </c>
      <c r="I33" s="138">
        <f>'MIlk-Data Entry'!BB24</f>
        <v>0</v>
      </c>
      <c r="J33" s="137">
        <f>'Food-Data Entry'!AC24</f>
        <v>0</v>
      </c>
      <c r="K33" s="138">
        <f>'Food-Data Entry'!AY24</f>
        <v>0</v>
      </c>
      <c r="L33" s="138">
        <f>'Food-Data Entry'!AZ24</f>
        <v>0</v>
      </c>
      <c r="M33" s="139">
        <f>'MIlk-Data Entry'!BD24</f>
        <v>0</v>
      </c>
      <c r="N33" s="652"/>
      <c r="O33" s="42"/>
      <c r="P33" s="42"/>
      <c r="Q33" s="18">
        <f t="shared" si="2"/>
        <v>0</v>
      </c>
      <c r="R33" s="18">
        <f t="shared" si="3"/>
        <v>0</v>
      </c>
      <c r="S33" s="18">
        <f t="shared" si="4"/>
        <v>0</v>
      </c>
      <c r="T33" s="18">
        <f t="shared" si="5"/>
        <v>0</v>
      </c>
      <c r="U33" s="18">
        <f t="shared" si="6"/>
        <v>0</v>
      </c>
      <c r="V33" s="18">
        <f t="shared" si="7"/>
        <v>0</v>
      </c>
      <c r="W33" s="18">
        <f t="shared" si="8"/>
        <v>0</v>
      </c>
      <c r="X33" s="18">
        <f t="shared" si="9"/>
        <v>0</v>
      </c>
    </row>
    <row r="34" spans="1:24" ht="21" customHeight="1">
      <c r="A34" s="887"/>
      <c r="B34" s="65" t="str">
        <f>IF('Food-Data Entry'!N25="खुला",'Food-Data Entry'!M25,'Food-Data Entry'!N25)</f>
        <v>Monday</v>
      </c>
      <c r="C34" s="65" t="str">
        <f>'Food-Data Entry'!O25</f>
        <v>Monday</v>
      </c>
      <c r="D34" s="63">
        <f>'Food-Data Entry'!L25</f>
        <v>44914</v>
      </c>
      <c r="E34" s="64" t="str">
        <f t="shared" si="1"/>
        <v>(Monday)</v>
      </c>
      <c r="F34" s="137">
        <f>'Food-Data Entry'!Z25</f>
        <v>0</v>
      </c>
      <c r="G34" s="138">
        <f>'Food-Data Entry'!AW25</f>
        <v>0</v>
      </c>
      <c r="H34" s="138">
        <f>'Food-Data Entry'!AX25</f>
        <v>0</v>
      </c>
      <c r="I34" s="138">
        <f>'MIlk-Data Entry'!BB25</f>
        <v>0</v>
      </c>
      <c r="J34" s="137">
        <f>'Food-Data Entry'!AC25</f>
        <v>0</v>
      </c>
      <c r="K34" s="138">
        <f>'Food-Data Entry'!AY25</f>
        <v>0</v>
      </c>
      <c r="L34" s="138">
        <f>'Food-Data Entry'!AZ25</f>
        <v>0</v>
      </c>
      <c r="M34" s="139">
        <f>'MIlk-Data Entry'!BD25</f>
        <v>0</v>
      </c>
      <c r="N34" s="652"/>
      <c r="O34" s="42"/>
      <c r="P34" s="42"/>
      <c r="Q34" s="18">
        <f t="shared" si="2"/>
        <v>0</v>
      </c>
      <c r="R34" s="18">
        <f t="shared" si="3"/>
        <v>0</v>
      </c>
      <c r="S34" s="18">
        <f t="shared" si="4"/>
        <v>0</v>
      </c>
      <c r="T34" s="18">
        <f t="shared" si="5"/>
        <v>0</v>
      </c>
      <c r="U34" s="18">
        <f t="shared" si="6"/>
        <v>0</v>
      </c>
      <c r="V34" s="18">
        <f t="shared" si="7"/>
        <v>0</v>
      </c>
      <c r="W34" s="18">
        <f t="shared" si="8"/>
        <v>0</v>
      </c>
      <c r="X34" s="18">
        <f t="shared" si="9"/>
        <v>0</v>
      </c>
    </row>
    <row r="35" spans="1:24" ht="21" customHeight="1">
      <c r="A35" s="887"/>
      <c r="B35" s="65" t="str">
        <f>IF('Food-Data Entry'!N26="खुला",'Food-Data Entry'!M26,'Food-Data Entry'!N26)</f>
        <v>Tuesday</v>
      </c>
      <c r="C35" s="65" t="str">
        <f>'Food-Data Entry'!O26</f>
        <v>Tuesday</v>
      </c>
      <c r="D35" s="63">
        <f>'Food-Data Entry'!L26</f>
        <v>44915</v>
      </c>
      <c r="E35" s="64" t="str">
        <f t="shared" si="1"/>
        <v>(Tuesday)</v>
      </c>
      <c r="F35" s="137">
        <f>'Food-Data Entry'!Z26</f>
        <v>0</v>
      </c>
      <c r="G35" s="138">
        <f>'Food-Data Entry'!AW26</f>
        <v>0</v>
      </c>
      <c r="H35" s="138">
        <f>'Food-Data Entry'!AX26</f>
        <v>0</v>
      </c>
      <c r="I35" s="138">
        <f>'MIlk-Data Entry'!BB26</f>
        <v>0</v>
      </c>
      <c r="J35" s="137">
        <f>'Food-Data Entry'!AC26</f>
        <v>0</v>
      </c>
      <c r="K35" s="138">
        <f>'Food-Data Entry'!AY26</f>
        <v>0</v>
      </c>
      <c r="L35" s="138">
        <f>'Food-Data Entry'!AZ26</f>
        <v>0</v>
      </c>
      <c r="M35" s="139">
        <f>'MIlk-Data Entry'!BD26</f>
        <v>0</v>
      </c>
      <c r="N35" s="652"/>
      <c r="O35" s="42"/>
      <c r="P35" s="42"/>
      <c r="Q35" s="18">
        <f t="shared" si="2"/>
        <v>0</v>
      </c>
      <c r="R35" s="18">
        <f t="shared" si="3"/>
        <v>0</v>
      </c>
      <c r="S35" s="18">
        <f t="shared" si="4"/>
        <v>0</v>
      </c>
      <c r="T35" s="18">
        <f t="shared" si="5"/>
        <v>0</v>
      </c>
      <c r="U35" s="18">
        <f t="shared" si="6"/>
        <v>0</v>
      </c>
      <c r="V35" s="18">
        <f t="shared" si="7"/>
        <v>0</v>
      </c>
      <c r="W35" s="18">
        <f t="shared" si="8"/>
        <v>0</v>
      </c>
      <c r="X35" s="18">
        <f t="shared" si="9"/>
        <v>0</v>
      </c>
    </row>
    <row r="36" spans="1:24" ht="21" customHeight="1">
      <c r="A36" s="887"/>
      <c r="B36" s="65" t="str">
        <f>IF('Food-Data Entry'!N27="खुला",'Food-Data Entry'!M27,'Food-Data Entry'!N27)</f>
        <v>Wednesday</v>
      </c>
      <c r="C36" s="65" t="str">
        <f>'Food-Data Entry'!O27</f>
        <v>Wednesday</v>
      </c>
      <c r="D36" s="63">
        <f>'Food-Data Entry'!L27</f>
        <v>44916</v>
      </c>
      <c r="E36" s="64" t="str">
        <f t="shared" si="1"/>
        <v>(Wednesday)</v>
      </c>
      <c r="F36" s="137">
        <f>'Food-Data Entry'!Z27</f>
        <v>0</v>
      </c>
      <c r="G36" s="138">
        <f>'Food-Data Entry'!AW27</f>
        <v>0</v>
      </c>
      <c r="H36" s="138">
        <f>'Food-Data Entry'!AX27</f>
        <v>0</v>
      </c>
      <c r="I36" s="138">
        <f>'MIlk-Data Entry'!BB27</f>
        <v>0</v>
      </c>
      <c r="J36" s="137">
        <f>'Food-Data Entry'!AC27</f>
        <v>0</v>
      </c>
      <c r="K36" s="138">
        <f>'Food-Data Entry'!AY27</f>
        <v>0</v>
      </c>
      <c r="L36" s="138">
        <f>'Food-Data Entry'!AZ27</f>
        <v>0</v>
      </c>
      <c r="M36" s="139">
        <f>'MIlk-Data Entry'!BD27</f>
        <v>0</v>
      </c>
      <c r="N36" s="652"/>
      <c r="O36" s="42"/>
      <c r="P36" s="42"/>
      <c r="Q36" s="18">
        <f t="shared" si="2"/>
        <v>0</v>
      </c>
      <c r="R36" s="18">
        <f t="shared" si="3"/>
        <v>0</v>
      </c>
      <c r="S36" s="18">
        <f t="shared" si="4"/>
        <v>0</v>
      </c>
      <c r="T36" s="18">
        <f t="shared" si="5"/>
        <v>0</v>
      </c>
      <c r="U36" s="18">
        <f t="shared" si="6"/>
        <v>0</v>
      </c>
      <c r="V36" s="18">
        <f t="shared" si="7"/>
        <v>0</v>
      </c>
      <c r="W36" s="18">
        <f t="shared" si="8"/>
        <v>0</v>
      </c>
      <c r="X36" s="18">
        <f t="shared" si="9"/>
        <v>0</v>
      </c>
    </row>
    <row r="37" spans="1:24" ht="21" customHeight="1">
      <c r="A37" s="887"/>
      <c r="B37" s="65" t="str">
        <f>IF('Food-Data Entry'!N28="खुला",'Food-Data Entry'!M28,'Food-Data Entry'!N28)</f>
        <v>Thursday</v>
      </c>
      <c r="C37" s="65" t="str">
        <f>'Food-Data Entry'!O28</f>
        <v>Thursday</v>
      </c>
      <c r="D37" s="63">
        <f>'Food-Data Entry'!L28</f>
        <v>44917</v>
      </c>
      <c r="E37" s="64" t="str">
        <f t="shared" si="1"/>
        <v>(Thursday)</v>
      </c>
      <c r="F37" s="137">
        <f>'Food-Data Entry'!Z28</f>
        <v>0</v>
      </c>
      <c r="G37" s="138">
        <f>'Food-Data Entry'!AW28</f>
        <v>0</v>
      </c>
      <c r="H37" s="138">
        <f>'Food-Data Entry'!AX28</f>
        <v>0</v>
      </c>
      <c r="I37" s="138">
        <f>'MIlk-Data Entry'!BB28</f>
        <v>0</v>
      </c>
      <c r="J37" s="137">
        <f>'Food-Data Entry'!AC28</f>
        <v>0</v>
      </c>
      <c r="K37" s="138">
        <f>'Food-Data Entry'!AY28</f>
        <v>0</v>
      </c>
      <c r="L37" s="138">
        <f>'Food-Data Entry'!AZ28</f>
        <v>0</v>
      </c>
      <c r="M37" s="139">
        <f>'MIlk-Data Entry'!BD28</f>
        <v>0</v>
      </c>
      <c r="N37" s="652"/>
      <c r="O37" s="42"/>
      <c r="P37" s="42"/>
      <c r="Q37" s="18">
        <f t="shared" si="2"/>
        <v>0</v>
      </c>
      <c r="R37" s="18">
        <f t="shared" si="3"/>
        <v>0</v>
      </c>
      <c r="S37" s="18">
        <f t="shared" si="4"/>
        <v>0</v>
      </c>
      <c r="T37" s="18">
        <f t="shared" si="5"/>
        <v>0</v>
      </c>
      <c r="U37" s="18">
        <f t="shared" si="6"/>
        <v>0</v>
      </c>
      <c r="V37" s="18">
        <f t="shared" si="7"/>
        <v>0</v>
      </c>
      <c r="W37" s="18">
        <f t="shared" si="8"/>
        <v>0</v>
      </c>
      <c r="X37" s="18">
        <f t="shared" si="9"/>
        <v>0</v>
      </c>
    </row>
    <row r="38" spans="1:24" ht="21" customHeight="1">
      <c r="A38" s="887"/>
      <c r="B38" s="65" t="str">
        <f>IF('Food-Data Entry'!N29="खुला",'Food-Data Entry'!M29,'Food-Data Entry'!N29)</f>
        <v>Friday</v>
      </c>
      <c r="C38" s="65" t="str">
        <f>'Food-Data Entry'!O29</f>
        <v>Friday</v>
      </c>
      <c r="D38" s="63">
        <f>'Food-Data Entry'!L29</f>
        <v>44918</v>
      </c>
      <c r="E38" s="64" t="str">
        <f t="shared" si="1"/>
        <v>(Friday)</v>
      </c>
      <c r="F38" s="137">
        <f>'Food-Data Entry'!Z29</f>
        <v>0</v>
      </c>
      <c r="G38" s="138">
        <f>'Food-Data Entry'!AW29</f>
        <v>0</v>
      </c>
      <c r="H38" s="138">
        <f>'Food-Data Entry'!AX29</f>
        <v>0</v>
      </c>
      <c r="I38" s="138">
        <f>'MIlk-Data Entry'!BB29</f>
        <v>0</v>
      </c>
      <c r="J38" s="137">
        <f>'Food-Data Entry'!AC29</f>
        <v>0</v>
      </c>
      <c r="K38" s="138">
        <f>'Food-Data Entry'!AY29</f>
        <v>0</v>
      </c>
      <c r="L38" s="138">
        <f>'Food-Data Entry'!AZ29</f>
        <v>0</v>
      </c>
      <c r="M38" s="139">
        <f>'MIlk-Data Entry'!BD29</f>
        <v>0</v>
      </c>
      <c r="N38" s="652"/>
      <c r="O38" s="42"/>
      <c r="P38" s="42"/>
      <c r="Q38" s="18">
        <f t="shared" si="2"/>
        <v>0</v>
      </c>
      <c r="R38" s="18">
        <f t="shared" si="3"/>
        <v>0</v>
      </c>
      <c r="S38" s="18">
        <f t="shared" si="4"/>
        <v>0</v>
      </c>
      <c r="T38" s="18">
        <f t="shared" si="5"/>
        <v>0</v>
      </c>
      <c r="U38" s="18">
        <f t="shared" si="6"/>
        <v>0</v>
      </c>
      <c r="V38" s="18">
        <f t="shared" si="7"/>
        <v>0</v>
      </c>
      <c r="W38" s="18">
        <f t="shared" si="8"/>
        <v>0</v>
      </c>
      <c r="X38" s="18">
        <f t="shared" si="9"/>
        <v>0</v>
      </c>
    </row>
    <row r="39" spans="1:24" ht="21" customHeight="1">
      <c r="A39" s="887"/>
      <c r="B39" s="65" t="str">
        <f>IF('Food-Data Entry'!N30="खुला",'Food-Data Entry'!M30,'Food-Data Entry'!N30)</f>
        <v>Saturday</v>
      </c>
      <c r="C39" s="65" t="str">
        <f>'Food-Data Entry'!O30</f>
        <v>Saturday</v>
      </c>
      <c r="D39" s="63">
        <f>'Food-Data Entry'!L30</f>
        <v>44919</v>
      </c>
      <c r="E39" s="64" t="str">
        <f t="shared" si="1"/>
        <v>(Saturday)</v>
      </c>
      <c r="F39" s="137">
        <f>'Food-Data Entry'!Z30</f>
        <v>0</v>
      </c>
      <c r="G39" s="138">
        <f>'Food-Data Entry'!AW30</f>
        <v>0</v>
      </c>
      <c r="H39" s="138">
        <f>'Food-Data Entry'!AX30</f>
        <v>0</v>
      </c>
      <c r="I39" s="138">
        <f>'MIlk-Data Entry'!BB30</f>
        <v>0</v>
      </c>
      <c r="J39" s="137">
        <f>'Food-Data Entry'!AC30</f>
        <v>0</v>
      </c>
      <c r="K39" s="138">
        <f>'Food-Data Entry'!AY30</f>
        <v>0</v>
      </c>
      <c r="L39" s="138">
        <f>'Food-Data Entry'!AZ30</f>
        <v>0</v>
      </c>
      <c r="M39" s="139">
        <f>'MIlk-Data Entry'!BD30</f>
        <v>0</v>
      </c>
      <c r="N39" s="652"/>
      <c r="O39" s="42"/>
      <c r="P39" s="42"/>
      <c r="Q39" s="18">
        <f t="shared" si="2"/>
        <v>0</v>
      </c>
      <c r="R39" s="18">
        <f t="shared" si="3"/>
        <v>0</v>
      </c>
      <c r="S39" s="18">
        <f t="shared" si="4"/>
        <v>0</v>
      </c>
      <c r="T39" s="18">
        <f t="shared" si="5"/>
        <v>0</v>
      </c>
      <c r="U39" s="18">
        <f t="shared" si="6"/>
        <v>0</v>
      </c>
      <c r="V39" s="18">
        <f t="shared" si="7"/>
        <v>0</v>
      </c>
      <c r="W39" s="18">
        <f t="shared" si="8"/>
        <v>0</v>
      </c>
      <c r="X39" s="18">
        <f t="shared" si="9"/>
        <v>0</v>
      </c>
    </row>
    <row r="40" spans="1:24" ht="21" customHeight="1">
      <c r="A40" s="887"/>
      <c r="B40" s="65" t="str">
        <f>IF('Food-Data Entry'!N31="खुला",'Food-Data Entry'!M31,'Food-Data Entry'!N31)</f>
        <v>रवि॰अव॰</v>
      </c>
      <c r="C40" s="65" t="str">
        <f>'Food-Data Entry'!O31</f>
        <v>Holiday</v>
      </c>
      <c r="D40" s="63">
        <f>'Food-Data Entry'!L31</f>
        <v>44920</v>
      </c>
      <c r="E40" s="64" t="str">
        <f t="shared" si="1"/>
        <v>(रवि॰अव॰)</v>
      </c>
      <c r="F40" s="137">
        <f>'Food-Data Entry'!Z31</f>
        <v>0</v>
      </c>
      <c r="G40" s="138">
        <f>'Food-Data Entry'!AW31</f>
        <v>0</v>
      </c>
      <c r="H40" s="138">
        <f>'Food-Data Entry'!AX31</f>
        <v>0</v>
      </c>
      <c r="I40" s="138">
        <f>'MIlk-Data Entry'!BB31</f>
        <v>0</v>
      </c>
      <c r="J40" s="137">
        <f>'Food-Data Entry'!AC31</f>
        <v>0</v>
      </c>
      <c r="K40" s="138">
        <f>'Food-Data Entry'!AY31</f>
        <v>0</v>
      </c>
      <c r="L40" s="138">
        <f>'Food-Data Entry'!AZ31</f>
        <v>0</v>
      </c>
      <c r="M40" s="139">
        <f>'MIlk-Data Entry'!BD31</f>
        <v>0</v>
      </c>
      <c r="N40" s="652"/>
      <c r="O40" s="42"/>
      <c r="P40" s="42"/>
      <c r="Q40" s="18">
        <f t="shared" si="2"/>
        <v>0</v>
      </c>
      <c r="R40" s="18">
        <f t="shared" si="3"/>
        <v>0</v>
      </c>
      <c r="S40" s="18">
        <f t="shared" si="4"/>
        <v>0</v>
      </c>
      <c r="T40" s="18">
        <f t="shared" si="5"/>
        <v>0</v>
      </c>
      <c r="U40" s="18">
        <f t="shared" si="6"/>
        <v>0</v>
      </c>
      <c r="V40" s="18">
        <f t="shared" si="7"/>
        <v>0</v>
      </c>
      <c r="W40" s="18">
        <f t="shared" si="8"/>
        <v>0</v>
      </c>
      <c r="X40" s="18">
        <f t="shared" si="9"/>
        <v>0</v>
      </c>
    </row>
    <row r="41" spans="1:24" ht="21" customHeight="1">
      <c r="A41" s="887"/>
      <c r="B41" s="65" t="str">
        <f>IF('Food-Data Entry'!N32="खुला",'Food-Data Entry'!M32,'Food-Data Entry'!N32)</f>
        <v>Monday</v>
      </c>
      <c r="C41" s="65" t="str">
        <f>'Food-Data Entry'!O32</f>
        <v>Monday</v>
      </c>
      <c r="D41" s="63">
        <f>'Food-Data Entry'!L32</f>
        <v>44921</v>
      </c>
      <c r="E41" s="64" t="str">
        <f t="shared" si="1"/>
        <v>(Monday)</v>
      </c>
      <c r="F41" s="137">
        <f>'Food-Data Entry'!Z32</f>
        <v>0</v>
      </c>
      <c r="G41" s="138">
        <f>'Food-Data Entry'!AW32</f>
        <v>0</v>
      </c>
      <c r="H41" s="138">
        <f>'Food-Data Entry'!AX32</f>
        <v>0</v>
      </c>
      <c r="I41" s="138">
        <f>'MIlk-Data Entry'!BB32</f>
        <v>0</v>
      </c>
      <c r="J41" s="137">
        <f>'Food-Data Entry'!AC32</f>
        <v>0</v>
      </c>
      <c r="K41" s="138">
        <f>'Food-Data Entry'!AY32</f>
        <v>0</v>
      </c>
      <c r="L41" s="138">
        <f>'Food-Data Entry'!AZ32</f>
        <v>0</v>
      </c>
      <c r="M41" s="139">
        <f>'MIlk-Data Entry'!BD32</f>
        <v>0</v>
      </c>
      <c r="N41" s="652"/>
      <c r="O41" s="42"/>
      <c r="P41" s="42"/>
      <c r="Q41" s="18">
        <f t="shared" si="2"/>
        <v>0</v>
      </c>
      <c r="R41" s="18">
        <f t="shared" si="3"/>
        <v>0</v>
      </c>
      <c r="S41" s="18">
        <f t="shared" si="4"/>
        <v>0</v>
      </c>
      <c r="T41" s="18">
        <f t="shared" si="5"/>
        <v>0</v>
      </c>
      <c r="U41" s="18">
        <f t="shared" si="6"/>
        <v>0</v>
      </c>
      <c r="V41" s="18">
        <f t="shared" si="7"/>
        <v>0</v>
      </c>
      <c r="W41" s="18">
        <f t="shared" si="8"/>
        <v>0</v>
      </c>
      <c r="X41" s="18">
        <f t="shared" si="9"/>
        <v>0</v>
      </c>
    </row>
    <row r="42" spans="1:24" ht="21" customHeight="1">
      <c r="A42" s="887"/>
      <c r="B42" s="65" t="str">
        <f>IF('Food-Data Entry'!N33="खुला",'Food-Data Entry'!M33,'Food-Data Entry'!N33)</f>
        <v>Tuesday</v>
      </c>
      <c r="C42" s="65" t="str">
        <f>'Food-Data Entry'!O33</f>
        <v>Tuesday</v>
      </c>
      <c r="D42" s="63">
        <f>'Food-Data Entry'!L33</f>
        <v>44922</v>
      </c>
      <c r="E42" s="64" t="str">
        <f t="shared" si="1"/>
        <v>(Tuesday)</v>
      </c>
      <c r="F42" s="137">
        <f>'Food-Data Entry'!Z33</f>
        <v>0</v>
      </c>
      <c r="G42" s="138">
        <f>'Food-Data Entry'!AW33</f>
        <v>0</v>
      </c>
      <c r="H42" s="138">
        <f>'Food-Data Entry'!AX33</f>
        <v>0</v>
      </c>
      <c r="I42" s="138">
        <f>'MIlk-Data Entry'!BB33</f>
        <v>0</v>
      </c>
      <c r="J42" s="137">
        <f>'Food-Data Entry'!AC33</f>
        <v>0</v>
      </c>
      <c r="K42" s="138">
        <f>'Food-Data Entry'!AY33</f>
        <v>0</v>
      </c>
      <c r="L42" s="138">
        <f>'Food-Data Entry'!AZ33</f>
        <v>0</v>
      </c>
      <c r="M42" s="139">
        <f>'MIlk-Data Entry'!BD33</f>
        <v>0</v>
      </c>
      <c r="N42" s="652"/>
      <c r="O42" s="42"/>
      <c r="P42" s="42"/>
      <c r="Q42" s="18">
        <f t="shared" si="2"/>
        <v>0</v>
      </c>
      <c r="R42" s="18">
        <f t="shared" si="3"/>
        <v>0</v>
      </c>
      <c r="S42" s="18">
        <f t="shared" si="4"/>
        <v>0</v>
      </c>
      <c r="T42" s="18">
        <f t="shared" si="5"/>
        <v>0</v>
      </c>
      <c r="U42" s="18">
        <f t="shared" si="6"/>
        <v>0</v>
      </c>
      <c r="V42" s="18">
        <f t="shared" si="7"/>
        <v>0</v>
      </c>
      <c r="W42" s="18">
        <f t="shared" si="8"/>
        <v>0</v>
      </c>
      <c r="X42" s="18">
        <f t="shared" si="9"/>
        <v>0</v>
      </c>
    </row>
    <row r="43" spans="1:24" ht="21" customHeight="1">
      <c r="A43" s="887"/>
      <c r="B43" s="65" t="str">
        <f>IF('Food-Data Entry'!N34="खुला",'Food-Data Entry'!M34,'Food-Data Entry'!N34)</f>
        <v>Wednesday</v>
      </c>
      <c r="C43" s="65" t="str">
        <f>'Food-Data Entry'!O34</f>
        <v>Wednesday</v>
      </c>
      <c r="D43" s="63">
        <f>'Food-Data Entry'!L34</f>
        <v>44923</v>
      </c>
      <c r="E43" s="64" t="str">
        <f t="shared" si="1"/>
        <v>(Wednesday)</v>
      </c>
      <c r="F43" s="137">
        <f>'Food-Data Entry'!Z34</f>
        <v>0</v>
      </c>
      <c r="G43" s="138">
        <f>'Food-Data Entry'!AW34</f>
        <v>0</v>
      </c>
      <c r="H43" s="138">
        <f>'Food-Data Entry'!AX34</f>
        <v>0</v>
      </c>
      <c r="I43" s="138">
        <f>'MIlk-Data Entry'!BB34</f>
        <v>0</v>
      </c>
      <c r="J43" s="137">
        <f>'Food-Data Entry'!AC34</f>
        <v>0</v>
      </c>
      <c r="K43" s="138">
        <f>'Food-Data Entry'!AY34</f>
        <v>0</v>
      </c>
      <c r="L43" s="138">
        <f>'Food-Data Entry'!AZ34</f>
        <v>0</v>
      </c>
      <c r="M43" s="139">
        <f>'MIlk-Data Entry'!BD34</f>
        <v>0</v>
      </c>
      <c r="N43" s="652"/>
      <c r="O43" s="42"/>
      <c r="P43" s="42"/>
      <c r="Q43" s="18">
        <f t="shared" si="2"/>
        <v>0</v>
      </c>
      <c r="R43" s="18">
        <f t="shared" si="3"/>
        <v>0</v>
      </c>
      <c r="S43" s="18">
        <f t="shared" si="4"/>
        <v>0</v>
      </c>
      <c r="T43" s="18">
        <f t="shared" si="5"/>
        <v>0</v>
      </c>
      <c r="U43" s="18">
        <f t="shared" si="6"/>
        <v>0</v>
      </c>
      <c r="V43" s="18">
        <f t="shared" si="7"/>
        <v>0</v>
      </c>
      <c r="W43" s="18">
        <f t="shared" si="8"/>
        <v>0</v>
      </c>
      <c r="X43" s="18">
        <f t="shared" si="9"/>
        <v>0</v>
      </c>
    </row>
    <row r="44" spans="1:24" ht="21" customHeight="1">
      <c r="A44" s="887"/>
      <c r="B44" s="65" t="str">
        <f>IF('Food-Data Entry'!N35="खुला",'Food-Data Entry'!M35,'Food-Data Entry'!N35)</f>
        <v>Thursday</v>
      </c>
      <c r="C44" s="65" t="str">
        <f>'Food-Data Entry'!O35</f>
        <v>Thursday</v>
      </c>
      <c r="D44" s="63">
        <f>'Food-Data Entry'!L35</f>
        <v>44924</v>
      </c>
      <c r="E44" s="64" t="str">
        <f t="shared" si="1"/>
        <v>(Thursday)</v>
      </c>
      <c r="F44" s="137">
        <f>'Food-Data Entry'!Z35</f>
        <v>0</v>
      </c>
      <c r="G44" s="138">
        <f>'Food-Data Entry'!AW35</f>
        <v>0</v>
      </c>
      <c r="H44" s="138">
        <f>'Food-Data Entry'!AX35</f>
        <v>0</v>
      </c>
      <c r="I44" s="138">
        <f>'MIlk-Data Entry'!BB35</f>
        <v>0</v>
      </c>
      <c r="J44" s="137">
        <f>'Food-Data Entry'!AC35</f>
        <v>0</v>
      </c>
      <c r="K44" s="138">
        <f>'Food-Data Entry'!AY35</f>
        <v>0</v>
      </c>
      <c r="L44" s="138">
        <f>'Food-Data Entry'!AZ35</f>
        <v>0</v>
      </c>
      <c r="M44" s="139">
        <f>'MIlk-Data Entry'!BD35</f>
        <v>0</v>
      </c>
      <c r="N44" s="652"/>
      <c r="O44" s="42"/>
      <c r="P44" s="42"/>
      <c r="Q44" s="18">
        <f t="shared" si="2"/>
        <v>0</v>
      </c>
      <c r="R44" s="18">
        <f t="shared" si="3"/>
        <v>0</v>
      </c>
      <c r="S44" s="18">
        <f t="shared" si="4"/>
        <v>0</v>
      </c>
      <c r="T44" s="18">
        <f t="shared" si="5"/>
        <v>0</v>
      </c>
      <c r="U44" s="18">
        <f t="shared" si="6"/>
        <v>0</v>
      </c>
      <c r="V44" s="18">
        <f t="shared" si="7"/>
        <v>0</v>
      </c>
      <c r="W44" s="18">
        <f t="shared" si="8"/>
        <v>0</v>
      </c>
      <c r="X44" s="18">
        <f t="shared" si="9"/>
        <v>0</v>
      </c>
    </row>
    <row r="45" spans="1:24" ht="21" customHeight="1">
      <c r="A45" s="887"/>
      <c r="B45" s="65" t="str">
        <f>IF('Food-Data Entry'!N36="खुला",'Food-Data Entry'!M36,'Food-Data Entry'!N36)</f>
        <v>Friday</v>
      </c>
      <c r="C45" s="65" t="str">
        <f>'Food-Data Entry'!O36</f>
        <v>Friday</v>
      </c>
      <c r="D45" s="63">
        <f>'Food-Data Entry'!L36</f>
        <v>44925</v>
      </c>
      <c r="E45" s="64" t="str">
        <f t="shared" si="1"/>
        <v>(Friday)</v>
      </c>
      <c r="F45" s="137">
        <f>'Food-Data Entry'!Z36</f>
        <v>0</v>
      </c>
      <c r="G45" s="138">
        <f>'Food-Data Entry'!AW36</f>
        <v>0</v>
      </c>
      <c r="H45" s="138">
        <f>'Food-Data Entry'!AX36</f>
        <v>0</v>
      </c>
      <c r="I45" s="138">
        <f>'MIlk-Data Entry'!BB36</f>
        <v>0</v>
      </c>
      <c r="J45" s="137">
        <f>'Food-Data Entry'!AC36</f>
        <v>0</v>
      </c>
      <c r="K45" s="138">
        <f>'Food-Data Entry'!AY36</f>
        <v>0</v>
      </c>
      <c r="L45" s="138">
        <f>'Food-Data Entry'!AZ36</f>
        <v>0</v>
      </c>
      <c r="M45" s="139">
        <f>'MIlk-Data Entry'!BD36</f>
        <v>0</v>
      </c>
      <c r="N45" s="652"/>
      <c r="O45" s="42"/>
      <c r="P45" s="42"/>
      <c r="Q45" s="18">
        <f t="shared" si="2"/>
        <v>0</v>
      </c>
      <c r="R45" s="18">
        <f t="shared" si="3"/>
        <v>0</v>
      </c>
      <c r="S45" s="18">
        <f t="shared" si="4"/>
        <v>0</v>
      </c>
      <c r="T45" s="18">
        <f t="shared" si="5"/>
        <v>0</v>
      </c>
      <c r="U45" s="18">
        <f t="shared" si="6"/>
        <v>0</v>
      </c>
      <c r="V45" s="18">
        <f t="shared" si="7"/>
        <v>0</v>
      </c>
      <c r="W45" s="18">
        <f t="shared" si="8"/>
        <v>0</v>
      </c>
      <c r="X45" s="18">
        <f t="shared" si="9"/>
        <v>0</v>
      </c>
    </row>
    <row r="46" spans="1:24" ht="21" customHeight="1" thickBot="1">
      <c r="A46" s="887"/>
      <c r="B46" s="65" t="str">
        <f>IF('Food-Data Entry'!N37="खुला",'Food-Data Entry'!M37,'Food-Data Entry'!N37)</f>
        <v>Saturday</v>
      </c>
      <c r="C46" s="65" t="str">
        <f>'Food-Data Entry'!O37</f>
        <v>Saturday</v>
      </c>
      <c r="D46" s="188">
        <f>'Food-Data Entry'!L37</f>
        <v>44926</v>
      </c>
      <c r="E46" s="189" t="str">
        <f>CONCATENATE("(",'Food-Data Entry'!M37,")")</f>
        <v>(Saturday)</v>
      </c>
      <c r="F46" s="190">
        <f>'Food-Data Entry'!Z37</f>
        <v>0</v>
      </c>
      <c r="G46" s="191">
        <f>'Food-Data Entry'!AW37</f>
        <v>0</v>
      </c>
      <c r="H46" s="191">
        <f>'Food-Data Entry'!AX37</f>
        <v>0</v>
      </c>
      <c r="I46" s="191">
        <f>'MIlk-Data Entry'!BB37</f>
        <v>0</v>
      </c>
      <c r="J46" s="190">
        <f>'Food-Data Entry'!AC37</f>
        <v>0</v>
      </c>
      <c r="K46" s="191">
        <f>'Food-Data Entry'!AY37</f>
        <v>0</v>
      </c>
      <c r="L46" s="191">
        <f>'Food-Data Entry'!AZ37</f>
        <v>0</v>
      </c>
      <c r="M46" s="192">
        <f>'MIlk-Data Entry'!BD37</f>
        <v>0</v>
      </c>
      <c r="N46" s="652"/>
      <c r="O46" s="42"/>
      <c r="P46" s="42"/>
      <c r="Q46" s="18">
        <f t="shared" si="2"/>
        <v>0</v>
      </c>
      <c r="R46" s="18">
        <f t="shared" si="3"/>
        <v>0</v>
      </c>
      <c r="S46" s="18">
        <f t="shared" si="4"/>
        <v>0</v>
      </c>
      <c r="T46" s="18">
        <f t="shared" si="5"/>
        <v>0</v>
      </c>
      <c r="U46" s="18">
        <f t="shared" si="6"/>
        <v>0</v>
      </c>
      <c r="V46" s="18">
        <f t="shared" si="7"/>
        <v>0</v>
      </c>
      <c r="W46" s="18">
        <f t="shared" si="8"/>
        <v>0</v>
      </c>
      <c r="X46" s="18">
        <f t="shared" si="9"/>
        <v>0</v>
      </c>
    </row>
    <row r="47" spans="1:24" ht="21" customHeight="1">
      <c r="A47" s="887"/>
      <c r="B47" s="65"/>
      <c r="C47" s="65"/>
      <c r="D47" s="953" t="s">
        <v>82</v>
      </c>
      <c r="E47" s="954"/>
      <c r="F47" s="193">
        <f>SUM(F16:F46)</f>
        <v>0</v>
      </c>
      <c r="G47" s="194">
        <f t="shared" ref="G47:M47" si="10">SUM(G16:G46)</f>
        <v>0</v>
      </c>
      <c r="H47" s="194">
        <f t="shared" si="10"/>
        <v>0</v>
      </c>
      <c r="I47" s="194">
        <f t="shared" si="10"/>
        <v>0.16499999999999998</v>
      </c>
      <c r="J47" s="193">
        <f t="shared" si="10"/>
        <v>0</v>
      </c>
      <c r="K47" s="194">
        <f t="shared" si="10"/>
        <v>0</v>
      </c>
      <c r="L47" s="194">
        <f t="shared" si="10"/>
        <v>0</v>
      </c>
      <c r="M47" s="195">
        <f t="shared" si="10"/>
        <v>0.18</v>
      </c>
      <c r="N47" s="652"/>
      <c r="O47" s="42"/>
      <c r="P47" s="42"/>
      <c r="Q47" s="71">
        <f>SUM(Q16:Q46)</f>
        <v>0</v>
      </c>
      <c r="R47" s="71">
        <f t="shared" ref="R47:X47" si="11">SUM(R16:R46)</f>
        <v>0</v>
      </c>
      <c r="S47" s="71">
        <f t="shared" si="11"/>
        <v>0</v>
      </c>
      <c r="T47" s="71">
        <f t="shared" si="11"/>
        <v>1</v>
      </c>
      <c r="U47" s="71">
        <f t="shared" si="11"/>
        <v>0</v>
      </c>
      <c r="V47" s="71">
        <f t="shared" si="11"/>
        <v>0</v>
      </c>
      <c r="W47" s="71">
        <f t="shared" si="11"/>
        <v>0</v>
      </c>
      <c r="X47" s="71">
        <f t="shared" si="11"/>
        <v>1</v>
      </c>
    </row>
    <row r="48" spans="1:24" ht="21" customHeight="1" thickBot="1">
      <c r="A48" s="887"/>
      <c r="B48" s="65"/>
      <c r="C48" s="65"/>
      <c r="D48" s="978" t="s">
        <v>295</v>
      </c>
      <c r="E48" s="979"/>
      <c r="F48" s="196">
        <f>Q47</f>
        <v>0</v>
      </c>
      <c r="G48" s="196">
        <f t="shared" ref="G48:M48" si="12">R47</f>
        <v>0</v>
      </c>
      <c r="H48" s="196">
        <f t="shared" si="12"/>
        <v>0</v>
      </c>
      <c r="I48" s="196">
        <f t="shared" si="12"/>
        <v>1</v>
      </c>
      <c r="J48" s="196">
        <f t="shared" si="12"/>
        <v>0</v>
      </c>
      <c r="K48" s="196">
        <f t="shared" si="12"/>
        <v>0</v>
      </c>
      <c r="L48" s="196">
        <f t="shared" si="12"/>
        <v>0</v>
      </c>
      <c r="M48" s="197">
        <f t="shared" si="12"/>
        <v>1</v>
      </c>
      <c r="N48" s="652"/>
      <c r="O48" s="42"/>
      <c r="P48" s="42"/>
    </row>
    <row r="49" spans="1:16" ht="42" customHeight="1" thickBot="1">
      <c r="A49" s="887"/>
      <c r="B49" s="65"/>
      <c r="C49" s="65"/>
      <c r="D49" s="951" t="s">
        <v>70</v>
      </c>
      <c r="E49" s="952"/>
      <c r="F49" s="952"/>
      <c r="G49" s="952"/>
      <c r="H49" s="952"/>
      <c r="I49" s="952"/>
      <c r="J49" s="952" t="s">
        <v>71</v>
      </c>
      <c r="K49" s="952"/>
      <c r="L49" s="952"/>
      <c r="M49" s="976"/>
      <c r="N49" s="652"/>
      <c r="O49" s="42"/>
      <c r="P49" s="42"/>
    </row>
  </sheetData>
  <sheetProtection password="E8FA" sheet="1" objects="1" scenarios="1" formatCells="0" formatColumns="0" formatRows="0" selectLockedCells="1"/>
  <mergeCells count="50">
    <mergeCell ref="D48:E48"/>
    <mergeCell ref="A1:O1"/>
    <mergeCell ref="A2:A49"/>
    <mergeCell ref="D6:E6"/>
    <mergeCell ref="F6:H6"/>
    <mergeCell ref="I6:J6"/>
    <mergeCell ref="K6:M6"/>
    <mergeCell ref="D2:M2"/>
    <mergeCell ref="D4:H4"/>
    <mergeCell ref="I4:M4"/>
    <mergeCell ref="D5:I5"/>
    <mergeCell ref="D7:E7"/>
    <mergeCell ref="F7:G7"/>
    <mergeCell ref="H7:J7"/>
    <mergeCell ref="K7:M7"/>
    <mergeCell ref="D8:E8"/>
    <mergeCell ref="K8:M8"/>
    <mergeCell ref="K9:M9"/>
    <mergeCell ref="N2:N49"/>
    <mergeCell ref="G49:I49"/>
    <mergeCell ref="J49:M49"/>
    <mergeCell ref="K10:M10"/>
    <mergeCell ref="K11:M11"/>
    <mergeCell ref="F8:G8"/>
    <mergeCell ref="H8:J8"/>
    <mergeCell ref="J13:J15"/>
    <mergeCell ref="K13:M13"/>
    <mergeCell ref="K14:L14"/>
    <mergeCell ref="O2:O8"/>
    <mergeCell ref="F11:G11"/>
    <mergeCell ref="H11:J11"/>
    <mergeCell ref="D49:F49"/>
    <mergeCell ref="D47:E47"/>
    <mergeCell ref="D13:E15"/>
    <mergeCell ref="D12:E12"/>
    <mergeCell ref="F12:G12"/>
    <mergeCell ref="H12:J12"/>
    <mergeCell ref="K12:M12"/>
    <mergeCell ref="D3:M3"/>
    <mergeCell ref="J5:K5"/>
    <mergeCell ref="D11:E11"/>
    <mergeCell ref="D10:E10"/>
    <mergeCell ref="F10:G10"/>
    <mergeCell ref="H10:J10"/>
    <mergeCell ref="D9:E9"/>
    <mergeCell ref="F9:G9"/>
    <mergeCell ref="G13:I13"/>
    <mergeCell ref="F13:F15"/>
    <mergeCell ref="G14:H14"/>
    <mergeCell ref="H9:J9"/>
  </mergeCells>
  <conditionalFormatting sqref="B16:C46 F16:M46">
    <cfRule type="expression" dxfId="13" priority="4">
      <formula>$C16="Holiday"</formula>
    </cfRule>
  </conditionalFormatting>
  <conditionalFormatting sqref="I16:I46">
    <cfRule type="cellIs" dxfId="12" priority="3" operator="equal">
      <formula>0</formula>
    </cfRule>
  </conditionalFormatting>
  <conditionalFormatting sqref="M16:M46">
    <cfRule type="cellIs" dxfId="11" priority="2" operator="equal">
      <formula>0</formula>
    </cfRule>
  </conditionalFormatting>
  <conditionalFormatting sqref="B16:M46">
    <cfRule type="expression" dxfId="10" priority="1">
      <formula>$B16="---"</formula>
    </cfRule>
  </conditionalFormatting>
  <pageMargins left="0.57999999999999996" right="0.18" top="0.19" bottom="0.18" header="0.17" footer="0.16"/>
  <pageSetup scale="76" orientation="portrait" r:id="rId1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C123"/>
  <sheetViews>
    <sheetView showGridLines="0" workbookViewId="0">
      <selection activeCell="Q4" sqref="Q4:Y4"/>
    </sheetView>
  </sheetViews>
  <sheetFormatPr defaultColWidth="0" defaultRowHeight="15" customHeight="1" zeroHeight="1"/>
  <cols>
    <col min="1" max="1" width="3" style="55" customWidth="1"/>
    <col min="2" max="2" width="4.28515625" style="87" customWidth="1"/>
    <col min="3" max="3" width="11.42578125" style="87" customWidth="1"/>
    <col min="4" max="4" width="13.7109375" style="87" customWidth="1"/>
    <col min="5" max="16" width="6.5703125" style="87" customWidth="1"/>
    <col min="17" max="25" width="6" style="87" customWidth="1"/>
    <col min="26" max="26" width="12.85546875" style="55" customWidth="1"/>
    <col min="27" max="27" width="3.28515625" style="55" customWidth="1"/>
    <col min="28" max="28" width="9.140625" style="55" hidden="1" customWidth="1"/>
    <col min="29" max="29" width="10.42578125" style="55" hidden="1" customWidth="1"/>
    <col min="30" max="16384" width="9.140625" style="55" hidden="1"/>
  </cols>
  <sheetData>
    <row r="1" spans="1:29" ht="15.75" thickBot="1">
      <c r="A1" s="996"/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6"/>
      <c r="O1" s="996"/>
      <c r="P1" s="996"/>
      <c r="Q1" s="996"/>
      <c r="R1" s="996"/>
      <c r="S1" s="996"/>
      <c r="T1" s="996"/>
      <c r="U1" s="996"/>
      <c r="V1" s="996"/>
      <c r="W1" s="996"/>
      <c r="X1" s="996"/>
      <c r="Y1" s="996"/>
      <c r="Z1" s="996"/>
      <c r="AA1" s="996"/>
    </row>
    <row r="2" spans="1:29" s="115" customFormat="1" ht="25.5" customHeight="1" thickBot="1">
      <c r="A2" s="997"/>
      <c r="B2" s="998" t="str">
        <f>'Food-Data Entry'!B2</f>
        <v>dk;kZy;%jktdh; mPp ek/;fed fo|ky; jk;eyok³k ¼ckfi.kh½] tks/kiqj</v>
      </c>
      <c r="C2" s="999"/>
      <c r="D2" s="999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999"/>
      <c r="P2" s="999"/>
      <c r="Q2" s="999"/>
      <c r="R2" s="999"/>
      <c r="S2" s="999"/>
      <c r="T2" s="999"/>
      <c r="U2" s="999"/>
      <c r="V2" s="999"/>
      <c r="W2" s="999"/>
      <c r="X2" s="999"/>
      <c r="Y2" s="999"/>
      <c r="Z2" s="1001"/>
      <c r="AA2" s="996"/>
      <c r="AC2" s="126">
        <f>EOMONTH('Food-Data Entry'!AM3,-1)+1</f>
        <v>44896</v>
      </c>
    </row>
    <row r="3" spans="1:29" ht="22.5" customHeight="1" thickBot="1">
      <c r="A3" s="997"/>
      <c r="B3" s="1002"/>
      <c r="C3" s="1003"/>
      <c r="D3" s="1004"/>
      <c r="E3" s="1005" t="s">
        <v>332</v>
      </c>
      <c r="F3" s="1006"/>
      <c r="G3" s="1006"/>
      <c r="H3" s="1006"/>
      <c r="I3" s="1006"/>
      <c r="J3" s="1006"/>
      <c r="K3" s="1006"/>
      <c r="L3" s="1006"/>
      <c r="M3" s="1006"/>
      <c r="N3" s="1006"/>
      <c r="O3" s="1006"/>
      <c r="P3" s="1006"/>
      <c r="Q3" s="1006"/>
      <c r="R3" s="1006"/>
      <c r="S3" s="1006"/>
      <c r="T3" s="1006"/>
      <c r="U3" s="1074"/>
      <c r="V3" s="1007" t="s">
        <v>435</v>
      </c>
      <c r="W3" s="1008"/>
      <c r="X3" s="1008" t="str">
        <f>CONCATENATE('School Info'!I6,"-",'School Info'!K6)</f>
        <v>December-2022</v>
      </c>
      <c r="Y3" s="1008"/>
      <c r="Z3" s="1009"/>
      <c r="AA3" s="996"/>
      <c r="AC3" s="127">
        <f>EOMONTH('Food-Data Entry'!AM3,0)</f>
        <v>44926</v>
      </c>
    </row>
    <row r="4" spans="1:29" ht="21" thickBot="1">
      <c r="A4" s="997"/>
      <c r="B4" s="1010" t="s">
        <v>248</v>
      </c>
      <c r="C4" s="1014" t="s">
        <v>263</v>
      </c>
      <c r="D4" s="1018" t="s">
        <v>116</v>
      </c>
      <c r="E4" s="1021" t="s">
        <v>284</v>
      </c>
      <c r="F4" s="1022"/>
      <c r="G4" s="1022"/>
      <c r="H4" s="1022"/>
      <c r="I4" s="1022"/>
      <c r="J4" s="1022"/>
      <c r="K4" s="1022"/>
      <c r="L4" s="1022"/>
      <c r="M4" s="1022"/>
      <c r="N4" s="1022"/>
      <c r="O4" s="1022"/>
      <c r="P4" s="1023"/>
      <c r="Q4" s="1024" t="s">
        <v>333</v>
      </c>
      <c r="R4" s="1025"/>
      <c r="S4" s="1025"/>
      <c r="T4" s="1025"/>
      <c r="U4" s="1025"/>
      <c r="V4" s="1025"/>
      <c r="W4" s="1025"/>
      <c r="X4" s="1025"/>
      <c r="Y4" s="1026"/>
      <c r="Z4" s="1027" t="s">
        <v>264</v>
      </c>
      <c r="AA4" s="996"/>
    </row>
    <row r="5" spans="1:29" ht="26.25" customHeight="1">
      <c r="A5" s="997"/>
      <c r="B5" s="1011"/>
      <c r="C5" s="1015"/>
      <c r="D5" s="1019"/>
      <c r="E5" s="1030" t="s">
        <v>265</v>
      </c>
      <c r="F5" s="1031"/>
      <c r="G5" s="1030" t="s">
        <v>316</v>
      </c>
      <c r="H5" s="1031"/>
      <c r="I5" s="1030" t="s">
        <v>317</v>
      </c>
      <c r="J5" s="1031"/>
      <c r="K5" s="1032" t="s">
        <v>266</v>
      </c>
      <c r="L5" s="1033"/>
      <c r="M5" s="1030" t="s">
        <v>287</v>
      </c>
      <c r="N5" s="1031"/>
      <c r="O5" s="1034" t="s">
        <v>267</v>
      </c>
      <c r="P5" s="1035"/>
      <c r="Q5" s="1036" t="s">
        <v>318</v>
      </c>
      <c r="R5" s="1037"/>
      <c r="S5" s="1038"/>
      <c r="T5" s="1036" t="s">
        <v>319</v>
      </c>
      <c r="U5" s="1037"/>
      <c r="V5" s="1038"/>
      <c r="W5" s="1036" t="s">
        <v>320</v>
      </c>
      <c r="X5" s="1037"/>
      <c r="Y5" s="1038"/>
      <c r="Z5" s="1028"/>
      <c r="AA5" s="996"/>
    </row>
    <row r="6" spans="1:29" ht="15" customHeight="1">
      <c r="A6" s="997"/>
      <c r="B6" s="1012"/>
      <c r="C6" s="1016"/>
      <c r="D6" s="1019"/>
      <c r="E6" s="1039" t="s">
        <v>268</v>
      </c>
      <c r="F6" s="1040"/>
      <c r="G6" s="1039" t="s">
        <v>268</v>
      </c>
      <c r="H6" s="1040"/>
      <c r="I6" s="1039" t="s">
        <v>268</v>
      </c>
      <c r="J6" s="1040"/>
      <c r="K6" s="1041" t="s">
        <v>268</v>
      </c>
      <c r="L6" s="1042"/>
      <c r="M6" s="1039" t="s">
        <v>268</v>
      </c>
      <c r="N6" s="1040"/>
      <c r="O6" s="1041" t="s">
        <v>268</v>
      </c>
      <c r="P6" s="1042"/>
      <c r="Q6" s="1043" t="s">
        <v>268</v>
      </c>
      <c r="R6" s="1044"/>
      <c r="S6" s="1045"/>
      <c r="T6" s="1043" t="s">
        <v>268</v>
      </c>
      <c r="U6" s="1044"/>
      <c r="V6" s="1045"/>
      <c r="W6" s="1043" t="s">
        <v>268</v>
      </c>
      <c r="X6" s="1044"/>
      <c r="Y6" s="1045"/>
      <c r="Z6" s="1028"/>
      <c r="AA6" s="996"/>
    </row>
    <row r="7" spans="1:29" ht="16.5" customHeight="1" thickBot="1">
      <c r="A7" s="997"/>
      <c r="B7" s="1013"/>
      <c r="C7" s="1017"/>
      <c r="D7" s="1020"/>
      <c r="E7" s="159" t="s">
        <v>285</v>
      </c>
      <c r="F7" s="200" t="s">
        <v>286</v>
      </c>
      <c r="G7" s="159" t="s">
        <v>285</v>
      </c>
      <c r="H7" s="200" t="s">
        <v>286</v>
      </c>
      <c r="I7" s="159" t="s">
        <v>285</v>
      </c>
      <c r="J7" s="200" t="s">
        <v>286</v>
      </c>
      <c r="K7" s="217" t="s">
        <v>285</v>
      </c>
      <c r="L7" s="218" t="s">
        <v>286</v>
      </c>
      <c r="M7" s="159" t="s">
        <v>285</v>
      </c>
      <c r="N7" s="200" t="s">
        <v>286</v>
      </c>
      <c r="O7" s="217" t="s">
        <v>285</v>
      </c>
      <c r="P7" s="225" t="s">
        <v>286</v>
      </c>
      <c r="Q7" s="88" t="s">
        <v>321</v>
      </c>
      <c r="R7" s="89" t="s">
        <v>322</v>
      </c>
      <c r="S7" s="201" t="s">
        <v>270</v>
      </c>
      <c r="T7" s="88" t="s">
        <v>321</v>
      </c>
      <c r="U7" s="89" t="s">
        <v>322</v>
      </c>
      <c r="V7" s="201" t="s">
        <v>270</v>
      </c>
      <c r="W7" s="88" t="s">
        <v>321</v>
      </c>
      <c r="X7" s="89" t="s">
        <v>322</v>
      </c>
      <c r="Y7" s="201" t="s">
        <v>270</v>
      </c>
      <c r="Z7" s="1029"/>
      <c r="AA7" s="996"/>
    </row>
    <row r="8" spans="1:29" s="91" customFormat="1" ht="17.25" customHeight="1">
      <c r="A8" s="997"/>
      <c r="B8" s="116">
        <f>IF(C8&lt;AC3,1,0)</f>
        <v>1</v>
      </c>
      <c r="C8" s="117">
        <f>'Food-Data Entry'!L7</f>
        <v>44896</v>
      </c>
      <c r="D8" s="118" t="str">
        <f>'Food-Data Entry'!O7</f>
        <v>Thursday</v>
      </c>
      <c r="E8" s="198">
        <f>('Food-Data Entry'!D10+'Food-Data Entry'!E10+'Food-Data Entry'!H10)-'Food-Data Entry'!J10</f>
        <v>40</v>
      </c>
      <c r="F8" s="199">
        <f>('Food-Data Entry'!D11+'Food-Data Entry'!E11+'Food-Data Entry'!H11)-'Food-Data Entry'!J11</f>
        <v>80</v>
      </c>
      <c r="G8" s="198">
        <f>'Food-Data Entry'!$AD7</f>
        <v>0</v>
      </c>
      <c r="H8" s="199">
        <f>'Food-Data Entry'!$AF7</f>
        <v>0</v>
      </c>
      <c r="I8" s="198">
        <f>'Food-Data Entry'!AH7</f>
        <v>0</v>
      </c>
      <c r="J8" s="199">
        <f>'Food-Data Entry'!AJ7</f>
        <v>0</v>
      </c>
      <c r="K8" s="219">
        <f>E8+G8+I8</f>
        <v>40</v>
      </c>
      <c r="L8" s="220">
        <f>F8+H8+J8</f>
        <v>80</v>
      </c>
      <c r="M8" s="198">
        <f>'Food-Data Entry'!AW7</f>
        <v>0</v>
      </c>
      <c r="N8" s="199">
        <f>'Food-Data Entry'!AX7</f>
        <v>0</v>
      </c>
      <c r="O8" s="219">
        <f t="shared" ref="O8:O38" si="0">K8-M8</f>
        <v>40</v>
      </c>
      <c r="P8" s="226">
        <f t="shared" ref="P8:P38" si="1">L8-N8</f>
        <v>80</v>
      </c>
      <c r="Q8" s="230">
        <f>'Food-Data Entry'!R7</f>
        <v>50</v>
      </c>
      <c r="R8" s="231">
        <f>'Food-Data Entry'!S7</f>
        <v>215</v>
      </c>
      <c r="S8" s="233">
        <f>SUM(Q8:R8)</f>
        <v>265</v>
      </c>
      <c r="T8" s="230">
        <f>'Food-Data Entry'!X7</f>
        <v>0</v>
      </c>
      <c r="U8" s="232">
        <f>'Food-Data Entry'!Y7</f>
        <v>0</v>
      </c>
      <c r="V8" s="233">
        <f>SUM(T8:U8)</f>
        <v>0</v>
      </c>
      <c r="W8" s="230">
        <f>'Food-Data Entry'!X7</f>
        <v>0</v>
      </c>
      <c r="X8" s="232">
        <f>'Food-Data Entry'!Y7</f>
        <v>0</v>
      </c>
      <c r="Y8" s="233">
        <f>SUM(W8:X8)</f>
        <v>0</v>
      </c>
      <c r="Z8" s="119"/>
      <c r="AA8" s="996"/>
      <c r="AB8" s="90" t="e">
        <f>#REF!+#REF!+#REF!+#REF!</f>
        <v>#REF!</v>
      </c>
    </row>
    <row r="9" spans="1:29" s="91" customFormat="1" ht="17.25" customHeight="1">
      <c r="A9" s="997"/>
      <c r="B9" s="116">
        <f>IF(C9&lt;=$AC$3,B8+1,0)</f>
        <v>2</v>
      </c>
      <c r="C9" s="117">
        <f>'Food-Data Entry'!L8</f>
        <v>44897</v>
      </c>
      <c r="D9" s="118" t="str">
        <f>'Food-Data Entry'!O8</f>
        <v>Friday</v>
      </c>
      <c r="E9" s="140">
        <f>O8</f>
        <v>40</v>
      </c>
      <c r="F9" s="141">
        <f>P8</f>
        <v>80</v>
      </c>
      <c r="G9" s="140">
        <f>'Food-Data Entry'!$AD8</f>
        <v>0</v>
      </c>
      <c r="H9" s="141">
        <f>'Food-Data Entry'!$AF8</f>
        <v>0</v>
      </c>
      <c r="I9" s="140">
        <f>'Food-Data Entry'!AH8</f>
        <v>0</v>
      </c>
      <c r="J9" s="141">
        <f>'Food-Data Entry'!AJ8</f>
        <v>0</v>
      </c>
      <c r="K9" s="221">
        <f t="shared" ref="K9:K38" si="2">E9+G9+I9</f>
        <v>40</v>
      </c>
      <c r="L9" s="222">
        <f t="shared" ref="L9:L38" si="3">F9+H9+J9</f>
        <v>80</v>
      </c>
      <c r="M9" s="140">
        <f>'Food-Data Entry'!AW8</f>
        <v>0</v>
      </c>
      <c r="N9" s="141">
        <f>'Food-Data Entry'!AX8</f>
        <v>0</v>
      </c>
      <c r="O9" s="221">
        <f t="shared" si="0"/>
        <v>40</v>
      </c>
      <c r="P9" s="227">
        <f t="shared" si="1"/>
        <v>80</v>
      </c>
      <c r="Q9" s="234">
        <f>'Food-Data Entry'!R8</f>
        <v>50</v>
      </c>
      <c r="R9" s="235">
        <f>'Food-Data Entry'!S8</f>
        <v>215</v>
      </c>
      <c r="S9" s="238">
        <f t="shared" ref="S9:S38" si="4">SUM(Q9:R9)</f>
        <v>265</v>
      </c>
      <c r="T9" s="234">
        <f>'Food-Data Entry'!X8</f>
        <v>0</v>
      </c>
      <c r="U9" s="235">
        <f>'Food-Data Entry'!Y8</f>
        <v>0</v>
      </c>
      <c r="V9" s="238">
        <f t="shared" ref="V9:V38" si="5">SUM(T9:U9)</f>
        <v>0</v>
      </c>
      <c r="W9" s="234">
        <f>'Food-Data Entry'!X8</f>
        <v>0</v>
      </c>
      <c r="X9" s="235">
        <f>'Food-Data Entry'!Y8</f>
        <v>0</v>
      </c>
      <c r="Y9" s="238">
        <f t="shared" ref="Y9:Y38" si="6">SUM(W9:X9)</f>
        <v>0</v>
      </c>
      <c r="Z9" s="120"/>
      <c r="AA9" s="996"/>
      <c r="AB9" s="90" t="e">
        <f>#REF!+#REF!+#REF!+#REF!</f>
        <v>#REF!</v>
      </c>
    </row>
    <row r="10" spans="1:29" s="91" customFormat="1" ht="17.25" customHeight="1">
      <c r="A10" s="997"/>
      <c r="B10" s="116">
        <f t="shared" ref="B10:B38" si="7">IF(C10&lt;=$AC$3,B9+1,0)</f>
        <v>3</v>
      </c>
      <c r="C10" s="117">
        <f>'Food-Data Entry'!L9</f>
        <v>44898</v>
      </c>
      <c r="D10" s="118" t="str">
        <f>'Food-Data Entry'!O9</f>
        <v>Saturday</v>
      </c>
      <c r="E10" s="140">
        <f t="shared" ref="E10:E26" si="8">O9</f>
        <v>40</v>
      </c>
      <c r="F10" s="141">
        <f t="shared" ref="F10:F26" si="9">P9</f>
        <v>80</v>
      </c>
      <c r="G10" s="140">
        <f>'Food-Data Entry'!$AD9</f>
        <v>0</v>
      </c>
      <c r="H10" s="141">
        <f>'Food-Data Entry'!$AF9</f>
        <v>0</v>
      </c>
      <c r="I10" s="140">
        <f>'Food-Data Entry'!AH9</f>
        <v>0</v>
      </c>
      <c r="J10" s="141">
        <f>'Food-Data Entry'!AJ9</f>
        <v>0</v>
      </c>
      <c r="K10" s="221">
        <f t="shared" si="2"/>
        <v>40</v>
      </c>
      <c r="L10" s="222">
        <f t="shared" si="3"/>
        <v>80</v>
      </c>
      <c r="M10" s="140">
        <f>'Food-Data Entry'!AW9</f>
        <v>0</v>
      </c>
      <c r="N10" s="141">
        <f>'Food-Data Entry'!AX9</f>
        <v>0</v>
      </c>
      <c r="O10" s="221">
        <f t="shared" si="0"/>
        <v>40</v>
      </c>
      <c r="P10" s="227">
        <f t="shared" si="1"/>
        <v>80</v>
      </c>
      <c r="Q10" s="234">
        <f>'Food-Data Entry'!R9</f>
        <v>50</v>
      </c>
      <c r="R10" s="235">
        <f>'Food-Data Entry'!S9</f>
        <v>215</v>
      </c>
      <c r="S10" s="238">
        <f t="shared" si="4"/>
        <v>265</v>
      </c>
      <c r="T10" s="234">
        <f>'Food-Data Entry'!X9</f>
        <v>0</v>
      </c>
      <c r="U10" s="235">
        <f>'Food-Data Entry'!Y9</f>
        <v>0</v>
      </c>
      <c r="V10" s="238">
        <f t="shared" si="5"/>
        <v>0</v>
      </c>
      <c r="W10" s="234">
        <f>'Food-Data Entry'!X9</f>
        <v>0</v>
      </c>
      <c r="X10" s="235">
        <f>'Food-Data Entry'!Y9</f>
        <v>0</v>
      </c>
      <c r="Y10" s="238">
        <f t="shared" si="6"/>
        <v>0</v>
      </c>
      <c r="Z10" s="120"/>
      <c r="AA10" s="996"/>
      <c r="AB10" s="90" t="e">
        <f>#REF!+#REF!+#REF!+#REF!</f>
        <v>#REF!</v>
      </c>
    </row>
    <row r="11" spans="1:29" s="91" customFormat="1" ht="17.25" customHeight="1">
      <c r="A11" s="997"/>
      <c r="B11" s="116">
        <f t="shared" si="7"/>
        <v>4</v>
      </c>
      <c r="C11" s="117">
        <f>'Food-Data Entry'!L10</f>
        <v>44899</v>
      </c>
      <c r="D11" s="118" t="str">
        <f>'Food-Data Entry'!O10</f>
        <v>Holiday</v>
      </c>
      <c r="E11" s="140">
        <f t="shared" si="8"/>
        <v>40</v>
      </c>
      <c r="F11" s="141">
        <f t="shared" si="9"/>
        <v>80</v>
      </c>
      <c r="G11" s="140">
        <f>'Food-Data Entry'!$AD10</f>
        <v>0</v>
      </c>
      <c r="H11" s="141">
        <f>'Food-Data Entry'!$AF10</f>
        <v>0</v>
      </c>
      <c r="I11" s="140">
        <f>'Food-Data Entry'!AH10</f>
        <v>0</v>
      </c>
      <c r="J11" s="141">
        <f>'Food-Data Entry'!AJ10</f>
        <v>0</v>
      </c>
      <c r="K11" s="221">
        <f t="shared" si="2"/>
        <v>40</v>
      </c>
      <c r="L11" s="222">
        <f t="shared" si="3"/>
        <v>80</v>
      </c>
      <c r="M11" s="140">
        <f>'Food-Data Entry'!AW10</f>
        <v>0</v>
      </c>
      <c r="N11" s="141">
        <f>'Food-Data Entry'!AX10</f>
        <v>0</v>
      </c>
      <c r="O11" s="221">
        <f t="shared" si="0"/>
        <v>40</v>
      </c>
      <c r="P11" s="227">
        <f t="shared" si="1"/>
        <v>80</v>
      </c>
      <c r="Q11" s="234">
        <f>'Food-Data Entry'!R10</f>
        <v>50</v>
      </c>
      <c r="R11" s="235">
        <f>'Food-Data Entry'!S10</f>
        <v>215</v>
      </c>
      <c r="S11" s="238">
        <f t="shared" si="4"/>
        <v>265</v>
      </c>
      <c r="T11" s="234">
        <f>'Food-Data Entry'!X10</f>
        <v>0</v>
      </c>
      <c r="U11" s="235">
        <f>'Food-Data Entry'!Y10</f>
        <v>0</v>
      </c>
      <c r="V11" s="238">
        <f t="shared" si="5"/>
        <v>0</v>
      </c>
      <c r="W11" s="234">
        <f>'Food-Data Entry'!X10</f>
        <v>0</v>
      </c>
      <c r="X11" s="235">
        <f>'Food-Data Entry'!Y10</f>
        <v>0</v>
      </c>
      <c r="Y11" s="238">
        <f t="shared" si="6"/>
        <v>0</v>
      </c>
      <c r="Z11" s="120"/>
      <c r="AA11" s="996"/>
      <c r="AB11" s="90" t="e">
        <f>#REF!+#REF!+#REF!+#REF!</f>
        <v>#REF!</v>
      </c>
    </row>
    <row r="12" spans="1:29" s="91" customFormat="1" ht="17.25" customHeight="1">
      <c r="A12" s="997"/>
      <c r="B12" s="116">
        <f t="shared" si="7"/>
        <v>5</v>
      </c>
      <c r="C12" s="117">
        <f>'Food-Data Entry'!L11</f>
        <v>44900</v>
      </c>
      <c r="D12" s="118" t="str">
        <f>'Food-Data Entry'!O11</f>
        <v>Monday</v>
      </c>
      <c r="E12" s="140">
        <f t="shared" si="8"/>
        <v>40</v>
      </c>
      <c r="F12" s="141">
        <f t="shared" si="9"/>
        <v>80</v>
      </c>
      <c r="G12" s="140">
        <f>'Food-Data Entry'!$AD11</f>
        <v>0</v>
      </c>
      <c r="H12" s="141">
        <f>'Food-Data Entry'!$AF11</f>
        <v>0</v>
      </c>
      <c r="I12" s="140">
        <f>'Food-Data Entry'!AH11</f>
        <v>0</v>
      </c>
      <c r="J12" s="141">
        <f>'Food-Data Entry'!AJ11</f>
        <v>0</v>
      </c>
      <c r="K12" s="221">
        <f t="shared" si="2"/>
        <v>40</v>
      </c>
      <c r="L12" s="222">
        <f t="shared" si="3"/>
        <v>80</v>
      </c>
      <c r="M12" s="140">
        <f>'Food-Data Entry'!AW11</f>
        <v>0</v>
      </c>
      <c r="N12" s="141">
        <f>'Food-Data Entry'!AX11</f>
        <v>0</v>
      </c>
      <c r="O12" s="221">
        <f t="shared" si="0"/>
        <v>40</v>
      </c>
      <c r="P12" s="227">
        <f t="shared" si="1"/>
        <v>80</v>
      </c>
      <c r="Q12" s="234">
        <f>'Food-Data Entry'!R11</f>
        <v>50</v>
      </c>
      <c r="R12" s="235">
        <f>'Food-Data Entry'!S11</f>
        <v>215</v>
      </c>
      <c r="S12" s="238">
        <f t="shared" si="4"/>
        <v>265</v>
      </c>
      <c r="T12" s="234">
        <f>'Food-Data Entry'!X11</f>
        <v>0</v>
      </c>
      <c r="U12" s="235">
        <f>'Food-Data Entry'!Y11</f>
        <v>0</v>
      </c>
      <c r="V12" s="238">
        <f t="shared" si="5"/>
        <v>0</v>
      </c>
      <c r="W12" s="234">
        <f>'Food-Data Entry'!X11</f>
        <v>0</v>
      </c>
      <c r="X12" s="235">
        <f>'Food-Data Entry'!Y11</f>
        <v>0</v>
      </c>
      <c r="Y12" s="238">
        <f t="shared" si="6"/>
        <v>0</v>
      </c>
      <c r="Z12" s="120"/>
      <c r="AA12" s="996"/>
      <c r="AB12" s="90" t="e">
        <f>#REF!+#REF!+#REF!+#REF!</f>
        <v>#REF!</v>
      </c>
    </row>
    <row r="13" spans="1:29" s="91" customFormat="1" ht="17.25" customHeight="1">
      <c r="A13" s="997"/>
      <c r="B13" s="116">
        <f t="shared" si="7"/>
        <v>6</v>
      </c>
      <c r="C13" s="117">
        <f>'Food-Data Entry'!L12</f>
        <v>44901</v>
      </c>
      <c r="D13" s="118" t="str">
        <f>'Food-Data Entry'!O12</f>
        <v>Tuesday</v>
      </c>
      <c r="E13" s="140">
        <f t="shared" si="8"/>
        <v>40</v>
      </c>
      <c r="F13" s="141">
        <f t="shared" si="9"/>
        <v>80</v>
      </c>
      <c r="G13" s="140">
        <f>'Food-Data Entry'!$AD12</f>
        <v>0</v>
      </c>
      <c r="H13" s="141">
        <f>'Food-Data Entry'!$AF12</f>
        <v>0</v>
      </c>
      <c r="I13" s="140">
        <f>'Food-Data Entry'!AH12</f>
        <v>0</v>
      </c>
      <c r="J13" s="141">
        <f>'Food-Data Entry'!AJ12</f>
        <v>0</v>
      </c>
      <c r="K13" s="221">
        <f t="shared" si="2"/>
        <v>40</v>
      </c>
      <c r="L13" s="222">
        <f t="shared" si="3"/>
        <v>80</v>
      </c>
      <c r="M13" s="140">
        <f>'Food-Data Entry'!AW12</f>
        <v>0</v>
      </c>
      <c r="N13" s="141">
        <f>'Food-Data Entry'!AX12</f>
        <v>0</v>
      </c>
      <c r="O13" s="221">
        <f t="shared" si="0"/>
        <v>40</v>
      </c>
      <c r="P13" s="227">
        <f t="shared" si="1"/>
        <v>80</v>
      </c>
      <c r="Q13" s="234">
        <f>'Food-Data Entry'!R12</f>
        <v>50</v>
      </c>
      <c r="R13" s="235">
        <f>'Food-Data Entry'!S12</f>
        <v>215</v>
      </c>
      <c r="S13" s="238">
        <f t="shared" si="4"/>
        <v>265</v>
      </c>
      <c r="T13" s="234">
        <f>'Food-Data Entry'!X12</f>
        <v>0</v>
      </c>
      <c r="U13" s="235">
        <f>'Food-Data Entry'!Y12</f>
        <v>0</v>
      </c>
      <c r="V13" s="238">
        <f t="shared" si="5"/>
        <v>0</v>
      </c>
      <c r="W13" s="234">
        <f>'Food-Data Entry'!X12</f>
        <v>0</v>
      </c>
      <c r="X13" s="235">
        <f>'Food-Data Entry'!Y12</f>
        <v>0</v>
      </c>
      <c r="Y13" s="238">
        <f t="shared" si="6"/>
        <v>0</v>
      </c>
      <c r="Z13" s="120"/>
      <c r="AA13" s="996"/>
      <c r="AB13" s="90" t="e">
        <f>#REF!+#REF!+#REF!+#REF!</f>
        <v>#REF!</v>
      </c>
    </row>
    <row r="14" spans="1:29" s="91" customFormat="1" ht="17.25" customHeight="1">
      <c r="A14" s="997"/>
      <c r="B14" s="116">
        <f t="shared" si="7"/>
        <v>7</v>
      </c>
      <c r="C14" s="117">
        <f>'Food-Data Entry'!L13</f>
        <v>44902</v>
      </c>
      <c r="D14" s="118" t="str">
        <f>'Food-Data Entry'!O13</f>
        <v>Wednesday</v>
      </c>
      <c r="E14" s="140">
        <f t="shared" si="8"/>
        <v>40</v>
      </c>
      <c r="F14" s="141">
        <f t="shared" si="9"/>
        <v>80</v>
      </c>
      <c r="G14" s="140">
        <f>'Food-Data Entry'!$AD13</f>
        <v>0</v>
      </c>
      <c r="H14" s="141">
        <f>'Food-Data Entry'!$AF13</f>
        <v>0</v>
      </c>
      <c r="I14" s="140">
        <f>'Food-Data Entry'!AH13</f>
        <v>0</v>
      </c>
      <c r="J14" s="141">
        <f>'Food-Data Entry'!AJ13</f>
        <v>0</v>
      </c>
      <c r="K14" s="221">
        <f t="shared" si="2"/>
        <v>40</v>
      </c>
      <c r="L14" s="222">
        <f t="shared" si="3"/>
        <v>80</v>
      </c>
      <c r="M14" s="140">
        <f>'Food-Data Entry'!AW13</f>
        <v>0</v>
      </c>
      <c r="N14" s="141">
        <f>'Food-Data Entry'!AX13</f>
        <v>0</v>
      </c>
      <c r="O14" s="221">
        <f t="shared" si="0"/>
        <v>40</v>
      </c>
      <c r="P14" s="227">
        <f t="shared" si="1"/>
        <v>80</v>
      </c>
      <c r="Q14" s="234">
        <f>'Food-Data Entry'!R13</f>
        <v>50</v>
      </c>
      <c r="R14" s="235">
        <f>'Food-Data Entry'!S13</f>
        <v>215</v>
      </c>
      <c r="S14" s="238">
        <f t="shared" si="4"/>
        <v>265</v>
      </c>
      <c r="T14" s="234">
        <f>'Food-Data Entry'!X13</f>
        <v>0</v>
      </c>
      <c r="U14" s="235">
        <f>'Food-Data Entry'!Y13</f>
        <v>0</v>
      </c>
      <c r="V14" s="238">
        <f t="shared" si="5"/>
        <v>0</v>
      </c>
      <c r="W14" s="234">
        <f>'Food-Data Entry'!X13</f>
        <v>0</v>
      </c>
      <c r="X14" s="235">
        <f>'Food-Data Entry'!Y13</f>
        <v>0</v>
      </c>
      <c r="Y14" s="238">
        <f t="shared" si="6"/>
        <v>0</v>
      </c>
      <c r="Z14" s="120"/>
      <c r="AA14" s="996"/>
      <c r="AB14" s="90" t="e">
        <f>#REF!+#REF!+#REF!+#REF!</f>
        <v>#REF!</v>
      </c>
    </row>
    <row r="15" spans="1:29" s="91" customFormat="1" ht="17.25" customHeight="1">
      <c r="A15" s="997"/>
      <c r="B15" s="116">
        <f t="shared" si="7"/>
        <v>8</v>
      </c>
      <c r="C15" s="117">
        <f>'Food-Data Entry'!L14</f>
        <v>44903</v>
      </c>
      <c r="D15" s="118" t="str">
        <f>'Food-Data Entry'!O14</f>
        <v>Thursday</v>
      </c>
      <c r="E15" s="140">
        <f t="shared" si="8"/>
        <v>40</v>
      </c>
      <c r="F15" s="141">
        <f t="shared" si="9"/>
        <v>80</v>
      </c>
      <c r="G15" s="140">
        <f>'Food-Data Entry'!$AD14</f>
        <v>0</v>
      </c>
      <c r="H15" s="141">
        <f>'Food-Data Entry'!$AF14</f>
        <v>0</v>
      </c>
      <c r="I15" s="140">
        <f>'Food-Data Entry'!AH14</f>
        <v>0</v>
      </c>
      <c r="J15" s="141">
        <f>'Food-Data Entry'!AJ14</f>
        <v>0</v>
      </c>
      <c r="K15" s="221">
        <f t="shared" si="2"/>
        <v>40</v>
      </c>
      <c r="L15" s="222">
        <f t="shared" si="3"/>
        <v>80</v>
      </c>
      <c r="M15" s="140">
        <f>'Food-Data Entry'!AW14</f>
        <v>0</v>
      </c>
      <c r="N15" s="141">
        <f>'Food-Data Entry'!AX14</f>
        <v>0</v>
      </c>
      <c r="O15" s="221">
        <f t="shared" si="0"/>
        <v>40</v>
      </c>
      <c r="P15" s="227">
        <f t="shared" si="1"/>
        <v>80</v>
      </c>
      <c r="Q15" s="234">
        <f>'Food-Data Entry'!R14</f>
        <v>50</v>
      </c>
      <c r="R15" s="235">
        <f>'Food-Data Entry'!S14</f>
        <v>215</v>
      </c>
      <c r="S15" s="238">
        <f t="shared" si="4"/>
        <v>265</v>
      </c>
      <c r="T15" s="234">
        <f>'Food-Data Entry'!X14</f>
        <v>0</v>
      </c>
      <c r="U15" s="235">
        <f>'Food-Data Entry'!Y14</f>
        <v>0</v>
      </c>
      <c r="V15" s="238">
        <f t="shared" si="5"/>
        <v>0</v>
      </c>
      <c r="W15" s="234">
        <f>'Food-Data Entry'!X14</f>
        <v>0</v>
      </c>
      <c r="X15" s="235">
        <f>'Food-Data Entry'!Y14</f>
        <v>0</v>
      </c>
      <c r="Y15" s="238">
        <f t="shared" si="6"/>
        <v>0</v>
      </c>
      <c r="Z15" s="120"/>
      <c r="AA15" s="996"/>
      <c r="AB15" s="90" t="e">
        <f>#REF!+#REF!+#REF!+#REF!</f>
        <v>#REF!</v>
      </c>
    </row>
    <row r="16" spans="1:29" s="91" customFormat="1" ht="17.25" customHeight="1">
      <c r="A16" s="997"/>
      <c r="B16" s="116">
        <f t="shared" si="7"/>
        <v>9</v>
      </c>
      <c r="C16" s="117">
        <f>'Food-Data Entry'!L15</f>
        <v>44904</v>
      </c>
      <c r="D16" s="118" t="str">
        <f>'Food-Data Entry'!O15</f>
        <v>Friday</v>
      </c>
      <c r="E16" s="140">
        <f t="shared" si="8"/>
        <v>40</v>
      </c>
      <c r="F16" s="141">
        <f t="shared" si="9"/>
        <v>80</v>
      </c>
      <c r="G16" s="140">
        <f>'Food-Data Entry'!$AD15</f>
        <v>0</v>
      </c>
      <c r="H16" s="141">
        <f>'Food-Data Entry'!$AF15</f>
        <v>0</v>
      </c>
      <c r="I16" s="140">
        <f>'Food-Data Entry'!AH15</f>
        <v>0</v>
      </c>
      <c r="J16" s="141">
        <f>'Food-Data Entry'!AJ15</f>
        <v>0</v>
      </c>
      <c r="K16" s="221">
        <f t="shared" si="2"/>
        <v>40</v>
      </c>
      <c r="L16" s="222">
        <f t="shared" si="3"/>
        <v>80</v>
      </c>
      <c r="M16" s="140">
        <f>'Food-Data Entry'!AW15</f>
        <v>0</v>
      </c>
      <c r="N16" s="141">
        <f>'Food-Data Entry'!AX15</f>
        <v>0</v>
      </c>
      <c r="O16" s="221">
        <f t="shared" si="0"/>
        <v>40</v>
      </c>
      <c r="P16" s="227">
        <f t="shared" si="1"/>
        <v>80</v>
      </c>
      <c r="Q16" s="234">
        <f>'Food-Data Entry'!R15</f>
        <v>50</v>
      </c>
      <c r="R16" s="235">
        <f>'Food-Data Entry'!S15</f>
        <v>215</v>
      </c>
      <c r="S16" s="238">
        <f t="shared" si="4"/>
        <v>265</v>
      </c>
      <c r="T16" s="234">
        <f>'Food-Data Entry'!X15</f>
        <v>0</v>
      </c>
      <c r="U16" s="235">
        <f>'Food-Data Entry'!Y15</f>
        <v>0</v>
      </c>
      <c r="V16" s="238">
        <f t="shared" si="5"/>
        <v>0</v>
      </c>
      <c r="W16" s="234">
        <f>'Food-Data Entry'!X15</f>
        <v>0</v>
      </c>
      <c r="X16" s="235">
        <f>'Food-Data Entry'!Y15</f>
        <v>0</v>
      </c>
      <c r="Y16" s="238">
        <f t="shared" si="6"/>
        <v>0</v>
      </c>
      <c r="Z16" s="120"/>
      <c r="AA16" s="996"/>
      <c r="AB16" s="90" t="e">
        <f>#REF!+#REF!+#REF!+#REF!</f>
        <v>#REF!</v>
      </c>
    </row>
    <row r="17" spans="1:28" s="91" customFormat="1" ht="17.25" customHeight="1">
      <c r="A17" s="997"/>
      <c r="B17" s="116">
        <f t="shared" si="7"/>
        <v>10</v>
      </c>
      <c r="C17" s="117">
        <f>'Food-Data Entry'!L16</f>
        <v>44905</v>
      </c>
      <c r="D17" s="118" t="str">
        <f>'Food-Data Entry'!O16</f>
        <v>Saturday</v>
      </c>
      <c r="E17" s="140">
        <f t="shared" si="8"/>
        <v>40</v>
      </c>
      <c r="F17" s="141">
        <f t="shared" si="9"/>
        <v>80</v>
      </c>
      <c r="G17" s="140">
        <f>'Food-Data Entry'!$AD16</f>
        <v>0</v>
      </c>
      <c r="H17" s="141">
        <f>'Food-Data Entry'!$AF16</f>
        <v>0</v>
      </c>
      <c r="I17" s="140">
        <f>'Food-Data Entry'!AH16</f>
        <v>0</v>
      </c>
      <c r="J17" s="141">
        <f>'Food-Data Entry'!AJ16</f>
        <v>0</v>
      </c>
      <c r="K17" s="221">
        <f t="shared" si="2"/>
        <v>40</v>
      </c>
      <c r="L17" s="222">
        <f t="shared" si="3"/>
        <v>80</v>
      </c>
      <c r="M17" s="140">
        <f>'Food-Data Entry'!AW16</f>
        <v>0</v>
      </c>
      <c r="N17" s="141">
        <f>'Food-Data Entry'!AX16</f>
        <v>0</v>
      </c>
      <c r="O17" s="221">
        <f t="shared" si="0"/>
        <v>40</v>
      </c>
      <c r="P17" s="227">
        <f t="shared" si="1"/>
        <v>80</v>
      </c>
      <c r="Q17" s="234">
        <f>'Food-Data Entry'!R16</f>
        <v>50</v>
      </c>
      <c r="R17" s="235">
        <f>'Food-Data Entry'!S16</f>
        <v>215</v>
      </c>
      <c r="S17" s="238">
        <f t="shared" si="4"/>
        <v>265</v>
      </c>
      <c r="T17" s="234">
        <f>'Food-Data Entry'!X16</f>
        <v>0</v>
      </c>
      <c r="U17" s="235">
        <f>'Food-Data Entry'!Y16</f>
        <v>0</v>
      </c>
      <c r="V17" s="238">
        <f t="shared" si="5"/>
        <v>0</v>
      </c>
      <c r="W17" s="234">
        <f>'Food-Data Entry'!X16</f>
        <v>0</v>
      </c>
      <c r="X17" s="235">
        <f>'Food-Data Entry'!Y16</f>
        <v>0</v>
      </c>
      <c r="Y17" s="238">
        <f t="shared" si="6"/>
        <v>0</v>
      </c>
      <c r="Z17" s="120"/>
      <c r="AA17" s="996"/>
      <c r="AB17" s="90" t="e">
        <f>#REF!+#REF!+#REF!+#REF!</f>
        <v>#REF!</v>
      </c>
    </row>
    <row r="18" spans="1:28" s="91" customFormat="1" ht="17.25" customHeight="1">
      <c r="A18" s="997"/>
      <c r="B18" s="116">
        <f t="shared" si="7"/>
        <v>11</v>
      </c>
      <c r="C18" s="117">
        <f>'Food-Data Entry'!L17</f>
        <v>44906</v>
      </c>
      <c r="D18" s="118" t="str">
        <f>'Food-Data Entry'!O17</f>
        <v>Holiday</v>
      </c>
      <c r="E18" s="140">
        <f t="shared" si="8"/>
        <v>40</v>
      </c>
      <c r="F18" s="141">
        <f t="shared" si="9"/>
        <v>80</v>
      </c>
      <c r="G18" s="140">
        <f>'Food-Data Entry'!$AD17</f>
        <v>0</v>
      </c>
      <c r="H18" s="141">
        <f>'Food-Data Entry'!$AF17</f>
        <v>0</v>
      </c>
      <c r="I18" s="140">
        <f>'Food-Data Entry'!AH17</f>
        <v>0</v>
      </c>
      <c r="J18" s="141">
        <f>'Food-Data Entry'!AJ17</f>
        <v>0</v>
      </c>
      <c r="K18" s="221">
        <f t="shared" si="2"/>
        <v>40</v>
      </c>
      <c r="L18" s="222">
        <f t="shared" si="3"/>
        <v>80</v>
      </c>
      <c r="M18" s="140">
        <f>'Food-Data Entry'!AW17</f>
        <v>0</v>
      </c>
      <c r="N18" s="141">
        <f>'Food-Data Entry'!AX17</f>
        <v>0</v>
      </c>
      <c r="O18" s="221">
        <f t="shared" si="0"/>
        <v>40</v>
      </c>
      <c r="P18" s="227">
        <f t="shared" si="1"/>
        <v>80</v>
      </c>
      <c r="Q18" s="234">
        <f>'Food-Data Entry'!R17</f>
        <v>50</v>
      </c>
      <c r="R18" s="235">
        <f>'Food-Data Entry'!S17</f>
        <v>215</v>
      </c>
      <c r="S18" s="238">
        <f t="shared" si="4"/>
        <v>265</v>
      </c>
      <c r="T18" s="234">
        <f>'Food-Data Entry'!X17</f>
        <v>0</v>
      </c>
      <c r="U18" s="235">
        <f>'Food-Data Entry'!Y17</f>
        <v>0</v>
      </c>
      <c r="V18" s="238">
        <f t="shared" si="5"/>
        <v>0</v>
      </c>
      <c r="W18" s="234">
        <f>'Food-Data Entry'!X17</f>
        <v>0</v>
      </c>
      <c r="X18" s="235">
        <f>'Food-Data Entry'!Y17</f>
        <v>0</v>
      </c>
      <c r="Y18" s="238">
        <f t="shared" si="6"/>
        <v>0</v>
      </c>
      <c r="Z18" s="120"/>
      <c r="AA18" s="996"/>
      <c r="AB18" s="90" t="e">
        <f>#REF!+#REF!+#REF!+#REF!</f>
        <v>#REF!</v>
      </c>
    </row>
    <row r="19" spans="1:28" s="91" customFormat="1" ht="17.25" customHeight="1">
      <c r="A19" s="997"/>
      <c r="B19" s="116">
        <f t="shared" si="7"/>
        <v>12</v>
      </c>
      <c r="C19" s="117">
        <f>'Food-Data Entry'!L18</f>
        <v>44907</v>
      </c>
      <c r="D19" s="118" t="str">
        <f>'Food-Data Entry'!O18</f>
        <v>Monday</v>
      </c>
      <c r="E19" s="140">
        <f t="shared" si="8"/>
        <v>40</v>
      </c>
      <c r="F19" s="141">
        <f t="shared" si="9"/>
        <v>80</v>
      </c>
      <c r="G19" s="140">
        <f>'Food-Data Entry'!$AD18</f>
        <v>0</v>
      </c>
      <c r="H19" s="141">
        <f>'Food-Data Entry'!$AF18</f>
        <v>0</v>
      </c>
      <c r="I19" s="140">
        <f>'Food-Data Entry'!AH18</f>
        <v>0</v>
      </c>
      <c r="J19" s="141">
        <f>'Food-Data Entry'!AJ18</f>
        <v>0</v>
      </c>
      <c r="K19" s="221">
        <f t="shared" si="2"/>
        <v>40</v>
      </c>
      <c r="L19" s="222">
        <f t="shared" si="3"/>
        <v>80</v>
      </c>
      <c r="M19" s="140">
        <f>'Food-Data Entry'!AW18</f>
        <v>0</v>
      </c>
      <c r="N19" s="141">
        <f>'Food-Data Entry'!AX18</f>
        <v>0</v>
      </c>
      <c r="O19" s="221">
        <f t="shared" si="0"/>
        <v>40</v>
      </c>
      <c r="P19" s="227">
        <f t="shared" si="1"/>
        <v>80</v>
      </c>
      <c r="Q19" s="234">
        <f>'Food-Data Entry'!R18</f>
        <v>50</v>
      </c>
      <c r="R19" s="235">
        <f>'Food-Data Entry'!S18</f>
        <v>215</v>
      </c>
      <c r="S19" s="238">
        <f t="shared" si="4"/>
        <v>265</v>
      </c>
      <c r="T19" s="234">
        <f>'Food-Data Entry'!X18</f>
        <v>0</v>
      </c>
      <c r="U19" s="235">
        <f>'Food-Data Entry'!Y18</f>
        <v>0</v>
      </c>
      <c r="V19" s="238">
        <f t="shared" si="5"/>
        <v>0</v>
      </c>
      <c r="W19" s="234">
        <f>'Food-Data Entry'!X18</f>
        <v>0</v>
      </c>
      <c r="X19" s="235">
        <f>'Food-Data Entry'!Y18</f>
        <v>0</v>
      </c>
      <c r="Y19" s="238">
        <f t="shared" si="6"/>
        <v>0</v>
      </c>
      <c r="Z19" s="120"/>
      <c r="AA19" s="996"/>
      <c r="AB19" s="90" t="e">
        <f>#REF!+#REF!+#REF!+#REF!</f>
        <v>#REF!</v>
      </c>
    </row>
    <row r="20" spans="1:28" s="91" customFormat="1" ht="17.25" customHeight="1">
      <c r="A20" s="997"/>
      <c r="B20" s="116">
        <f t="shared" si="7"/>
        <v>13</v>
      </c>
      <c r="C20" s="117">
        <f>'Food-Data Entry'!L19</f>
        <v>44908</v>
      </c>
      <c r="D20" s="118" t="str">
        <f>'Food-Data Entry'!O19</f>
        <v>Tuesday</v>
      </c>
      <c r="E20" s="140">
        <f t="shared" si="8"/>
        <v>40</v>
      </c>
      <c r="F20" s="141">
        <f t="shared" si="9"/>
        <v>80</v>
      </c>
      <c r="G20" s="140">
        <f>'Food-Data Entry'!$AD19</f>
        <v>0</v>
      </c>
      <c r="H20" s="141">
        <f>'Food-Data Entry'!$AF19</f>
        <v>0</v>
      </c>
      <c r="I20" s="140">
        <f>'Food-Data Entry'!AH19</f>
        <v>0</v>
      </c>
      <c r="J20" s="141">
        <f>'Food-Data Entry'!AJ19</f>
        <v>0</v>
      </c>
      <c r="K20" s="221">
        <f t="shared" si="2"/>
        <v>40</v>
      </c>
      <c r="L20" s="222">
        <f t="shared" si="3"/>
        <v>80</v>
      </c>
      <c r="M20" s="140">
        <f>'Food-Data Entry'!AW19</f>
        <v>0</v>
      </c>
      <c r="N20" s="141">
        <f>'Food-Data Entry'!AX19</f>
        <v>0</v>
      </c>
      <c r="O20" s="221">
        <f t="shared" si="0"/>
        <v>40</v>
      </c>
      <c r="P20" s="227">
        <f t="shared" si="1"/>
        <v>80</v>
      </c>
      <c r="Q20" s="234">
        <f>'Food-Data Entry'!R19</f>
        <v>50</v>
      </c>
      <c r="R20" s="235">
        <f>'Food-Data Entry'!S19</f>
        <v>215</v>
      </c>
      <c r="S20" s="238">
        <f t="shared" si="4"/>
        <v>265</v>
      </c>
      <c r="T20" s="234">
        <f>'Food-Data Entry'!X19</f>
        <v>0</v>
      </c>
      <c r="U20" s="235">
        <f>'Food-Data Entry'!Y19</f>
        <v>0</v>
      </c>
      <c r="V20" s="238">
        <f t="shared" si="5"/>
        <v>0</v>
      </c>
      <c r="W20" s="234">
        <f>'Food-Data Entry'!X19</f>
        <v>0</v>
      </c>
      <c r="X20" s="235">
        <f>'Food-Data Entry'!Y19</f>
        <v>0</v>
      </c>
      <c r="Y20" s="238">
        <f t="shared" si="6"/>
        <v>0</v>
      </c>
      <c r="Z20" s="120"/>
      <c r="AA20" s="996"/>
      <c r="AB20" s="90" t="e">
        <f>#REF!+#REF!+#REF!+#REF!</f>
        <v>#REF!</v>
      </c>
    </row>
    <row r="21" spans="1:28" s="91" customFormat="1" ht="17.25" customHeight="1">
      <c r="A21" s="997"/>
      <c r="B21" s="116">
        <f t="shared" si="7"/>
        <v>14</v>
      </c>
      <c r="C21" s="117">
        <f>'Food-Data Entry'!L20</f>
        <v>44909</v>
      </c>
      <c r="D21" s="118" t="str">
        <f>'Food-Data Entry'!O20</f>
        <v>Wednesday</v>
      </c>
      <c r="E21" s="140">
        <f t="shared" si="8"/>
        <v>40</v>
      </c>
      <c r="F21" s="141">
        <f t="shared" si="9"/>
        <v>80</v>
      </c>
      <c r="G21" s="140">
        <f>'Food-Data Entry'!$AD20</f>
        <v>0</v>
      </c>
      <c r="H21" s="141">
        <f>'Food-Data Entry'!$AF20</f>
        <v>0</v>
      </c>
      <c r="I21" s="140">
        <f>'Food-Data Entry'!AH20</f>
        <v>0</v>
      </c>
      <c r="J21" s="141">
        <f>'Food-Data Entry'!AJ20</f>
        <v>0</v>
      </c>
      <c r="K21" s="221">
        <f t="shared" si="2"/>
        <v>40</v>
      </c>
      <c r="L21" s="222">
        <f t="shared" si="3"/>
        <v>80</v>
      </c>
      <c r="M21" s="140">
        <f>'Food-Data Entry'!AW20</f>
        <v>0</v>
      </c>
      <c r="N21" s="141">
        <f>'Food-Data Entry'!AX20</f>
        <v>0</v>
      </c>
      <c r="O21" s="221">
        <f t="shared" si="0"/>
        <v>40</v>
      </c>
      <c r="P21" s="227">
        <f t="shared" si="1"/>
        <v>80</v>
      </c>
      <c r="Q21" s="234">
        <f>'Food-Data Entry'!R20</f>
        <v>50</v>
      </c>
      <c r="R21" s="235">
        <f>'Food-Data Entry'!S20</f>
        <v>215</v>
      </c>
      <c r="S21" s="238">
        <f t="shared" si="4"/>
        <v>265</v>
      </c>
      <c r="T21" s="234">
        <f>'Food-Data Entry'!X20</f>
        <v>0</v>
      </c>
      <c r="U21" s="235">
        <f>'Food-Data Entry'!Y20</f>
        <v>0</v>
      </c>
      <c r="V21" s="238">
        <f t="shared" si="5"/>
        <v>0</v>
      </c>
      <c r="W21" s="234">
        <f>'Food-Data Entry'!X20</f>
        <v>0</v>
      </c>
      <c r="X21" s="235">
        <f>'Food-Data Entry'!Y20</f>
        <v>0</v>
      </c>
      <c r="Y21" s="238">
        <f t="shared" si="6"/>
        <v>0</v>
      </c>
      <c r="Z21" s="120"/>
      <c r="AA21" s="996"/>
      <c r="AB21" s="90" t="e">
        <f>#REF!+#REF!+#REF!+#REF!</f>
        <v>#REF!</v>
      </c>
    </row>
    <row r="22" spans="1:28" s="91" customFormat="1" ht="17.25" customHeight="1">
      <c r="A22" s="997"/>
      <c r="B22" s="116">
        <f t="shared" si="7"/>
        <v>15</v>
      </c>
      <c r="C22" s="117">
        <f>'Food-Data Entry'!L21</f>
        <v>44910</v>
      </c>
      <c r="D22" s="118" t="str">
        <f>'Food-Data Entry'!O21</f>
        <v>Thursday</v>
      </c>
      <c r="E22" s="140">
        <f t="shared" si="8"/>
        <v>40</v>
      </c>
      <c r="F22" s="141">
        <f t="shared" si="9"/>
        <v>80</v>
      </c>
      <c r="G22" s="140">
        <f>'Food-Data Entry'!$AD21</f>
        <v>0</v>
      </c>
      <c r="H22" s="141">
        <f>'Food-Data Entry'!$AF21</f>
        <v>0</v>
      </c>
      <c r="I22" s="140">
        <f>'Food-Data Entry'!AH21</f>
        <v>0</v>
      </c>
      <c r="J22" s="141">
        <f>'Food-Data Entry'!AJ21</f>
        <v>0</v>
      </c>
      <c r="K22" s="221">
        <f t="shared" si="2"/>
        <v>40</v>
      </c>
      <c r="L22" s="222">
        <f t="shared" si="3"/>
        <v>80</v>
      </c>
      <c r="M22" s="140">
        <f>'Food-Data Entry'!AW21</f>
        <v>0</v>
      </c>
      <c r="N22" s="141">
        <f>'Food-Data Entry'!AX21</f>
        <v>0</v>
      </c>
      <c r="O22" s="221">
        <f t="shared" si="0"/>
        <v>40</v>
      </c>
      <c r="P22" s="227">
        <f t="shared" si="1"/>
        <v>80</v>
      </c>
      <c r="Q22" s="234">
        <f>'Food-Data Entry'!R21</f>
        <v>50</v>
      </c>
      <c r="R22" s="235">
        <f>'Food-Data Entry'!S21</f>
        <v>215</v>
      </c>
      <c r="S22" s="238">
        <f t="shared" si="4"/>
        <v>265</v>
      </c>
      <c r="T22" s="234">
        <f>'Food-Data Entry'!X21</f>
        <v>0</v>
      </c>
      <c r="U22" s="235">
        <f>'Food-Data Entry'!Y21</f>
        <v>0</v>
      </c>
      <c r="V22" s="238">
        <f t="shared" si="5"/>
        <v>0</v>
      </c>
      <c r="W22" s="234">
        <f>'Food-Data Entry'!X21</f>
        <v>0</v>
      </c>
      <c r="X22" s="235">
        <f>'Food-Data Entry'!Y21</f>
        <v>0</v>
      </c>
      <c r="Y22" s="238">
        <f t="shared" si="6"/>
        <v>0</v>
      </c>
      <c r="Z22" s="120"/>
      <c r="AA22" s="996"/>
      <c r="AB22" s="90" t="e">
        <f>#REF!+#REF!+#REF!+#REF!</f>
        <v>#REF!</v>
      </c>
    </row>
    <row r="23" spans="1:28" s="91" customFormat="1" ht="17.25" customHeight="1">
      <c r="A23" s="997"/>
      <c r="B23" s="116">
        <f t="shared" si="7"/>
        <v>16</v>
      </c>
      <c r="C23" s="117">
        <f>'Food-Data Entry'!L22</f>
        <v>44911</v>
      </c>
      <c r="D23" s="118" t="str">
        <f>'Food-Data Entry'!O22</f>
        <v>Friday</v>
      </c>
      <c r="E23" s="140">
        <f t="shared" si="8"/>
        <v>40</v>
      </c>
      <c r="F23" s="141">
        <f t="shared" si="9"/>
        <v>80</v>
      </c>
      <c r="G23" s="140">
        <f>'Food-Data Entry'!$AD22</f>
        <v>0</v>
      </c>
      <c r="H23" s="141">
        <f>'Food-Data Entry'!$AF22</f>
        <v>0</v>
      </c>
      <c r="I23" s="140">
        <f>'Food-Data Entry'!AH22</f>
        <v>0</v>
      </c>
      <c r="J23" s="141">
        <f>'Food-Data Entry'!AJ22</f>
        <v>0</v>
      </c>
      <c r="K23" s="221">
        <f t="shared" si="2"/>
        <v>40</v>
      </c>
      <c r="L23" s="222">
        <f t="shared" si="3"/>
        <v>80</v>
      </c>
      <c r="M23" s="140">
        <f>'Food-Data Entry'!AW22</f>
        <v>0</v>
      </c>
      <c r="N23" s="141">
        <f>'Food-Data Entry'!AX22</f>
        <v>0</v>
      </c>
      <c r="O23" s="221">
        <f t="shared" si="0"/>
        <v>40</v>
      </c>
      <c r="P23" s="227">
        <f t="shared" si="1"/>
        <v>80</v>
      </c>
      <c r="Q23" s="234">
        <f>'Food-Data Entry'!R22</f>
        <v>50</v>
      </c>
      <c r="R23" s="235">
        <f>'Food-Data Entry'!S22</f>
        <v>215</v>
      </c>
      <c r="S23" s="238">
        <f t="shared" si="4"/>
        <v>265</v>
      </c>
      <c r="T23" s="234">
        <f>'Food-Data Entry'!X22</f>
        <v>0</v>
      </c>
      <c r="U23" s="235">
        <f>'Food-Data Entry'!Y22</f>
        <v>0</v>
      </c>
      <c r="V23" s="238">
        <f t="shared" si="5"/>
        <v>0</v>
      </c>
      <c r="W23" s="234">
        <f>'Food-Data Entry'!X22</f>
        <v>0</v>
      </c>
      <c r="X23" s="235">
        <f>'Food-Data Entry'!Y22</f>
        <v>0</v>
      </c>
      <c r="Y23" s="238">
        <f t="shared" si="6"/>
        <v>0</v>
      </c>
      <c r="Z23" s="120"/>
      <c r="AA23" s="996"/>
      <c r="AB23" s="90" t="e">
        <f>#REF!+#REF!+#REF!+#REF!</f>
        <v>#REF!</v>
      </c>
    </row>
    <row r="24" spans="1:28" s="91" customFormat="1" ht="17.25" customHeight="1">
      <c r="A24" s="997"/>
      <c r="B24" s="116">
        <f t="shared" si="7"/>
        <v>17</v>
      </c>
      <c r="C24" s="117">
        <f>'Food-Data Entry'!L23</f>
        <v>44912</v>
      </c>
      <c r="D24" s="118" t="str">
        <f>'Food-Data Entry'!O23</f>
        <v>Saturday</v>
      </c>
      <c r="E24" s="140">
        <f t="shared" si="8"/>
        <v>40</v>
      </c>
      <c r="F24" s="141">
        <f t="shared" si="9"/>
        <v>80</v>
      </c>
      <c r="G24" s="140">
        <f>'Food-Data Entry'!$AD23</f>
        <v>0</v>
      </c>
      <c r="H24" s="141">
        <f>'Food-Data Entry'!$AF23</f>
        <v>0</v>
      </c>
      <c r="I24" s="140">
        <f>'Food-Data Entry'!AH23</f>
        <v>0</v>
      </c>
      <c r="J24" s="141">
        <f>'Food-Data Entry'!AJ23</f>
        <v>0</v>
      </c>
      <c r="K24" s="221">
        <f t="shared" si="2"/>
        <v>40</v>
      </c>
      <c r="L24" s="222">
        <f t="shared" si="3"/>
        <v>80</v>
      </c>
      <c r="M24" s="140">
        <f>'Food-Data Entry'!AW23</f>
        <v>0</v>
      </c>
      <c r="N24" s="141">
        <f>'Food-Data Entry'!AX23</f>
        <v>0</v>
      </c>
      <c r="O24" s="221">
        <f t="shared" si="0"/>
        <v>40</v>
      </c>
      <c r="P24" s="227">
        <f t="shared" si="1"/>
        <v>80</v>
      </c>
      <c r="Q24" s="234">
        <f>'Food-Data Entry'!R23</f>
        <v>50</v>
      </c>
      <c r="R24" s="235">
        <f>'Food-Data Entry'!S23</f>
        <v>215</v>
      </c>
      <c r="S24" s="238">
        <f t="shared" si="4"/>
        <v>265</v>
      </c>
      <c r="T24" s="234">
        <f>'Food-Data Entry'!X23</f>
        <v>0</v>
      </c>
      <c r="U24" s="235">
        <f>'Food-Data Entry'!Y23</f>
        <v>0</v>
      </c>
      <c r="V24" s="238">
        <f t="shared" si="5"/>
        <v>0</v>
      </c>
      <c r="W24" s="234">
        <f>'Food-Data Entry'!X23</f>
        <v>0</v>
      </c>
      <c r="X24" s="235">
        <f>'Food-Data Entry'!Y23</f>
        <v>0</v>
      </c>
      <c r="Y24" s="238">
        <f t="shared" si="6"/>
        <v>0</v>
      </c>
      <c r="Z24" s="120"/>
      <c r="AA24" s="996"/>
      <c r="AB24" s="90" t="e">
        <f>#REF!+#REF!+#REF!+#REF!</f>
        <v>#REF!</v>
      </c>
    </row>
    <row r="25" spans="1:28" s="91" customFormat="1" ht="17.25" customHeight="1">
      <c r="A25" s="997"/>
      <c r="B25" s="116">
        <f t="shared" si="7"/>
        <v>18</v>
      </c>
      <c r="C25" s="117">
        <f>'Food-Data Entry'!L24</f>
        <v>44913</v>
      </c>
      <c r="D25" s="118" t="str">
        <f>'Food-Data Entry'!O24</f>
        <v>Holiday</v>
      </c>
      <c r="E25" s="140">
        <f t="shared" si="8"/>
        <v>40</v>
      </c>
      <c r="F25" s="141">
        <f t="shared" si="9"/>
        <v>80</v>
      </c>
      <c r="G25" s="140">
        <f>'Food-Data Entry'!$AD24</f>
        <v>0</v>
      </c>
      <c r="H25" s="141">
        <f>'Food-Data Entry'!$AF24</f>
        <v>0</v>
      </c>
      <c r="I25" s="140">
        <f>'Food-Data Entry'!AH24</f>
        <v>0</v>
      </c>
      <c r="J25" s="141">
        <f>'Food-Data Entry'!AJ24</f>
        <v>0</v>
      </c>
      <c r="K25" s="221">
        <f t="shared" si="2"/>
        <v>40</v>
      </c>
      <c r="L25" s="222">
        <f t="shared" si="3"/>
        <v>80</v>
      </c>
      <c r="M25" s="140">
        <f>'Food-Data Entry'!AW24</f>
        <v>0</v>
      </c>
      <c r="N25" s="141">
        <f>'Food-Data Entry'!AX24</f>
        <v>0</v>
      </c>
      <c r="O25" s="221">
        <f t="shared" si="0"/>
        <v>40</v>
      </c>
      <c r="P25" s="227">
        <f t="shared" si="1"/>
        <v>80</v>
      </c>
      <c r="Q25" s="234">
        <f>'Food-Data Entry'!R24</f>
        <v>50</v>
      </c>
      <c r="R25" s="235">
        <f>'Food-Data Entry'!S24</f>
        <v>215</v>
      </c>
      <c r="S25" s="238">
        <f t="shared" si="4"/>
        <v>265</v>
      </c>
      <c r="T25" s="234">
        <f>'Food-Data Entry'!X24</f>
        <v>0</v>
      </c>
      <c r="U25" s="235">
        <f>'Food-Data Entry'!Y24</f>
        <v>0</v>
      </c>
      <c r="V25" s="238">
        <f t="shared" si="5"/>
        <v>0</v>
      </c>
      <c r="W25" s="234">
        <f>'Food-Data Entry'!X24</f>
        <v>0</v>
      </c>
      <c r="X25" s="235">
        <f>'Food-Data Entry'!Y24</f>
        <v>0</v>
      </c>
      <c r="Y25" s="238">
        <f t="shared" si="6"/>
        <v>0</v>
      </c>
      <c r="Z25" s="120"/>
      <c r="AA25" s="996"/>
      <c r="AB25" s="90" t="e">
        <f>#REF!+#REF!+#REF!+#REF!</f>
        <v>#REF!</v>
      </c>
    </row>
    <row r="26" spans="1:28" s="91" customFormat="1" ht="17.25" customHeight="1">
      <c r="A26" s="997"/>
      <c r="B26" s="116">
        <f t="shared" si="7"/>
        <v>19</v>
      </c>
      <c r="C26" s="117">
        <f>'Food-Data Entry'!L25</f>
        <v>44914</v>
      </c>
      <c r="D26" s="118" t="str">
        <f>'Food-Data Entry'!O25</f>
        <v>Monday</v>
      </c>
      <c r="E26" s="140">
        <f t="shared" si="8"/>
        <v>40</v>
      </c>
      <c r="F26" s="141">
        <f t="shared" si="9"/>
        <v>80</v>
      </c>
      <c r="G26" s="140">
        <f>'Food-Data Entry'!$AD25</f>
        <v>0</v>
      </c>
      <c r="H26" s="141">
        <f>'Food-Data Entry'!$AF25</f>
        <v>0</v>
      </c>
      <c r="I26" s="140">
        <f>'Food-Data Entry'!AH25</f>
        <v>0</v>
      </c>
      <c r="J26" s="141">
        <f>'Food-Data Entry'!AJ25</f>
        <v>0</v>
      </c>
      <c r="K26" s="221">
        <f t="shared" si="2"/>
        <v>40</v>
      </c>
      <c r="L26" s="222">
        <f t="shared" si="3"/>
        <v>80</v>
      </c>
      <c r="M26" s="140">
        <f>'Food-Data Entry'!AW25</f>
        <v>0</v>
      </c>
      <c r="N26" s="141">
        <f>'Food-Data Entry'!AX25</f>
        <v>0</v>
      </c>
      <c r="O26" s="221">
        <f t="shared" si="0"/>
        <v>40</v>
      </c>
      <c r="P26" s="227">
        <f t="shared" si="1"/>
        <v>80</v>
      </c>
      <c r="Q26" s="234">
        <f>'Food-Data Entry'!R25</f>
        <v>50</v>
      </c>
      <c r="R26" s="235">
        <f>'Food-Data Entry'!S25</f>
        <v>215</v>
      </c>
      <c r="S26" s="238">
        <f t="shared" si="4"/>
        <v>265</v>
      </c>
      <c r="T26" s="234">
        <f>'Food-Data Entry'!X25</f>
        <v>0</v>
      </c>
      <c r="U26" s="235">
        <f>'Food-Data Entry'!Y25</f>
        <v>0</v>
      </c>
      <c r="V26" s="238">
        <f t="shared" si="5"/>
        <v>0</v>
      </c>
      <c r="W26" s="234">
        <f>'Food-Data Entry'!X25</f>
        <v>0</v>
      </c>
      <c r="X26" s="235">
        <f>'Food-Data Entry'!Y25</f>
        <v>0</v>
      </c>
      <c r="Y26" s="238">
        <f t="shared" si="6"/>
        <v>0</v>
      </c>
      <c r="Z26" s="120"/>
      <c r="AA26" s="996"/>
      <c r="AB26" s="90" t="e">
        <f>#REF!+#REF!+#REF!+#REF!</f>
        <v>#REF!</v>
      </c>
    </row>
    <row r="27" spans="1:28" s="91" customFormat="1" ht="17.25" customHeight="1">
      <c r="A27" s="997"/>
      <c r="B27" s="116">
        <f t="shared" si="7"/>
        <v>20</v>
      </c>
      <c r="C27" s="117">
        <f>'Food-Data Entry'!L26</f>
        <v>44915</v>
      </c>
      <c r="D27" s="118" t="str">
        <f>'Food-Data Entry'!O26</f>
        <v>Tuesday</v>
      </c>
      <c r="E27" s="140">
        <f t="shared" ref="E27:E38" si="10">O26</f>
        <v>40</v>
      </c>
      <c r="F27" s="141">
        <f t="shared" ref="F27:F38" si="11">P26</f>
        <v>80</v>
      </c>
      <c r="G27" s="140">
        <f>'Food-Data Entry'!$AD26</f>
        <v>0</v>
      </c>
      <c r="H27" s="141">
        <f>'Food-Data Entry'!$AF26</f>
        <v>0</v>
      </c>
      <c r="I27" s="140">
        <f>'Food-Data Entry'!AH26</f>
        <v>0</v>
      </c>
      <c r="J27" s="141">
        <f>'Food-Data Entry'!AJ26</f>
        <v>0</v>
      </c>
      <c r="K27" s="221">
        <f t="shared" si="2"/>
        <v>40</v>
      </c>
      <c r="L27" s="222">
        <f t="shared" si="3"/>
        <v>80</v>
      </c>
      <c r="M27" s="140">
        <f>'Food-Data Entry'!AW26</f>
        <v>0</v>
      </c>
      <c r="N27" s="141">
        <f>'Food-Data Entry'!AX26</f>
        <v>0</v>
      </c>
      <c r="O27" s="221">
        <f t="shared" si="0"/>
        <v>40</v>
      </c>
      <c r="P27" s="227">
        <f t="shared" si="1"/>
        <v>80</v>
      </c>
      <c r="Q27" s="234">
        <f>'Food-Data Entry'!R26</f>
        <v>50</v>
      </c>
      <c r="R27" s="235">
        <f>'Food-Data Entry'!S26</f>
        <v>215</v>
      </c>
      <c r="S27" s="238">
        <f t="shared" si="4"/>
        <v>265</v>
      </c>
      <c r="T27" s="234">
        <f>'Food-Data Entry'!X26</f>
        <v>0</v>
      </c>
      <c r="U27" s="235">
        <f>'Food-Data Entry'!Y26</f>
        <v>0</v>
      </c>
      <c r="V27" s="238">
        <f t="shared" si="5"/>
        <v>0</v>
      </c>
      <c r="W27" s="234">
        <f>'Food-Data Entry'!X26</f>
        <v>0</v>
      </c>
      <c r="X27" s="235">
        <f>'Food-Data Entry'!Y26</f>
        <v>0</v>
      </c>
      <c r="Y27" s="238">
        <f t="shared" si="6"/>
        <v>0</v>
      </c>
      <c r="Z27" s="120"/>
      <c r="AA27" s="996"/>
      <c r="AB27" s="90" t="e">
        <f>#REF!+#REF!+#REF!+#REF!</f>
        <v>#REF!</v>
      </c>
    </row>
    <row r="28" spans="1:28" s="91" customFormat="1" ht="17.25" customHeight="1">
      <c r="A28" s="997"/>
      <c r="B28" s="116">
        <f t="shared" si="7"/>
        <v>21</v>
      </c>
      <c r="C28" s="121">
        <f>'Food-Data Entry'!L27</f>
        <v>44916</v>
      </c>
      <c r="D28" s="122" t="str">
        <f>'Food-Data Entry'!O27</f>
        <v>Wednesday</v>
      </c>
      <c r="E28" s="140">
        <f t="shared" si="10"/>
        <v>40</v>
      </c>
      <c r="F28" s="141">
        <f t="shared" si="11"/>
        <v>80</v>
      </c>
      <c r="G28" s="140">
        <f>'Food-Data Entry'!$AD27</f>
        <v>0</v>
      </c>
      <c r="H28" s="141">
        <f>'Food-Data Entry'!$AF27</f>
        <v>0</v>
      </c>
      <c r="I28" s="140">
        <f>'Food-Data Entry'!AH27</f>
        <v>0</v>
      </c>
      <c r="J28" s="141">
        <f>'Food-Data Entry'!AJ27</f>
        <v>0</v>
      </c>
      <c r="K28" s="221">
        <f t="shared" si="2"/>
        <v>40</v>
      </c>
      <c r="L28" s="222">
        <f t="shared" si="3"/>
        <v>80</v>
      </c>
      <c r="M28" s="140">
        <f>'Food-Data Entry'!AW27</f>
        <v>0</v>
      </c>
      <c r="N28" s="141">
        <f>'Food-Data Entry'!AX27</f>
        <v>0</v>
      </c>
      <c r="O28" s="221">
        <f t="shared" si="0"/>
        <v>40</v>
      </c>
      <c r="P28" s="227">
        <f t="shared" si="1"/>
        <v>80</v>
      </c>
      <c r="Q28" s="234">
        <f>'Food-Data Entry'!R27</f>
        <v>50</v>
      </c>
      <c r="R28" s="235">
        <f>'Food-Data Entry'!S27</f>
        <v>215</v>
      </c>
      <c r="S28" s="238">
        <f t="shared" si="4"/>
        <v>265</v>
      </c>
      <c r="T28" s="234">
        <f>'Food-Data Entry'!X27</f>
        <v>0</v>
      </c>
      <c r="U28" s="235">
        <f>'Food-Data Entry'!Y27</f>
        <v>0</v>
      </c>
      <c r="V28" s="238">
        <f t="shared" si="5"/>
        <v>0</v>
      </c>
      <c r="W28" s="234">
        <f>'Food-Data Entry'!X27</f>
        <v>0</v>
      </c>
      <c r="X28" s="235">
        <f>'Food-Data Entry'!Y27</f>
        <v>0</v>
      </c>
      <c r="Y28" s="238">
        <f t="shared" si="6"/>
        <v>0</v>
      </c>
      <c r="Z28" s="123"/>
      <c r="AA28" s="996"/>
      <c r="AB28" s="90" t="e">
        <f>#REF!+#REF!+#REF!+#REF!</f>
        <v>#REF!</v>
      </c>
    </row>
    <row r="29" spans="1:28" s="91" customFormat="1" ht="17.25" customHeight="1">
      <c r="A29" s="997"/>
      <c r="B29" s="116">
        <f t="shared" si="7"/>
        <v>22</v>
      </c>
      <c r="C29" s="121">
        <f>'Food-Data Entry'!L28</f>
        <v>44917</v>
      </c>
      <c r="D29" s="122" t="str">
        <f>'Food-Data Entry'!O28</f>
        <v>Thursday</v>
      </c>
      <c r="E29" s="140">
        <f t="shared" si="10"/>
        <v>40</v>
      </c>
      <c r="F29" s="141">
        <f t="shared" si="11"/>
        <v>80</v>
      </c>
      <c r="G29" s="140">
        <f>'Food-Data Entry'!$AD28</f>
        <v>0</v>
      </c>
      <c r="H29" s="141">
        <f>'Food-Data Entry'!$AF28</f>
        <v>0</v>
      </c>
      <c r="I29" s="140">
        <f>'Food-Data Entry'!AH28</f>
        <v>0</v>
      </c>
      <c r="J29" s="141">
        <f>'Food-Data Entry'!AJ28</f>
        <v>0</v>
      </c>
      <c r="K29" s="221">
        <f t="shared" si="2"/>
        <v>40</v>
      </c>
      <c r="L29" s="222">
        <f t="shared" si="3"/>
        <v>80</v>
      </c>
      <c r="M29" s="140">
        <f>'Food-Data Entry'!AW28</f>
        <v>0</v>
      </c>
      <c r="N29" s="141">
        <f>'Food-Data Entry'!AX28</f>
        <v>0</v>
      </c>
      <c r="O29" s="221">
        <f t="shared" si="0"/>
        <v>40</v>
      </c>
      <c r="P29" s="227">
        <f t="shared" si="1"/>
        <v>80</v>
      </c>
      <c r="Q29" s="234">
        <f>'Food-Data Entry'!R28</f>
        <v>50</v>
      </c>
      <c r="R29" s="235">
        <f>'Food-Data Entry'!S28</f>
        <v>215</v>
      </c>
      <c r="S29" s="238">
        <f t="shared" si="4"/>
        <v>265</v>
      </c>
      <c r="T29" s="234">
        <f>'Food-Data Entry'!X28</f>
        <v>0</v>
      </c>
      <c r="U29" s="235">
        <f>'Food-Data Entry'!Y28</f>
        <v>0</v>
      </c>
      <c r="V29" s="238">
        <f t="shared" si="5"/>
        <v>0</v>
      </c>
      <c r="W29" s="234">
        <f>'Food-Data Entry'!X28</f>
        <v>0</v>
      </c>
      <c r="X29" s="235">
        <f>'Food-Data Entry'!Y28</f>
        <v>0</v>
      </c>
      <c r="Y29" s="238">
        <f t="shared" si="6"/>
        <v>0</v>
      </c>
      <c r="Z29" s="123"/>
      <c r="AA29" s="996"/>
      <c r="AB29" s="90" t="e">
        <f>#REF!+#REF!+#REF!+#REF!</f>
        <v>#REF!</v>
      </c>
    </row>
    <row r="30" spans="1:28" s="91" customFormat="1" ht="17.25" customHeight="1">
      <c r="A30" s="997"/>
      <c r="B30" s="116">
        <f t="shared" si="7"/>
        <v>23</v>
      </c>
      <c r="C30" s="121">
        <f>'Food-Data Entry'!L29</f>
        <v>44918</v>
      </c>
      <c r="D30" s="122" t="str">
        <f>'Food-Data Entry'!O29</f>
        <v>Friday</v>
      </c>
      <c r="E30" s="140">
        <f t="shared" si="10"/>
        <v>40</v>
      </c>
      <c r="F30" s="141">
        <f t="shared" si="11"/>
        <v>80</v>
      </c>
      <c r="G30" s="140">
        <f>'Food-Data Entry'!$AD29</f>
        <v>0</v>
      </c>
      <c r="H30" s="141">
        <f>'Food-Data Entry'!$AF29</f>
        <v>0</v>
      </c>
      <c r="I30" s="140">
        <f>'Food-Data Entry'!AH29</f>
        <v>0</v>
      </c>
      <c r="J30" s="141">
        <f>'Food-Data Entry'!AJ29</f>
        <v>0</v>
      </c>
      <c r="K30" s="221">
        <f t="shared" si="2"/>
        <v>40</v>
      </c>
      <c r="L30" s="222">
        <f t="shared" si="3"/>
        <v>80</v>
      </c>
      <c r="M30" s="140">
        <f>'Food-Data Entry'!AW29</f>
        <v>0</v>
      </c>
      <c r="N30" s="141">
        <f>'Food-Data Entry'!AX29</f>
        <v>0</v>
      </c>
      <c r="O30" s="221">
        <f t="shared" si="0"/>
        <v>40</v>
      </c>
      <c r="P30" s="227">
        <f t="shared" si="1"/>
        <v>80</v>
      </c>
      <c r="Q30" s="234">
        <f>'Food-Data Entry'!R29</f>
        <v>50</v>
      </c>
      <c r="R30" s="235">
        <f>'Food-Data Entry'!S29</f>
        <v>215</v>
      </c>
      <c r="S30" s="238">
        <f t="shared" si="4"/>
        <v>265</v>
      </c>
      <c r="T30" s="234">
        <f>'Food-Data Entry'!X29</f>
        <v>0</v>
      </c>
      <c r="U30" s="235">
        <f>'Food-Data Entry'!Y29</f>
        <v>0</v>
      </c>
      <c r="V30" s="238">
        <f t="shared" si="5"/>
        <v>0</v>
      </c>
      <c r="W30" s="234">
        <f>'Food-Data Entry'!X29</f>
        <v>0</v>
      </c>
      <c r="X30" s="235">
        <f>'Food-Data Entry'!Y29</f>
        <v>0</v>
      </c>
      <c r="Y30" s="238">
        <f t="shared" si="6"/>
        <v>0</v>
      </c>
      <c r="Z30" s="123"/>
      <c r="AA30" s="996"/>
      <c r="AB30" s="90" t="e">
        <f>#REF!+#REF!+#REF!+#REF!</f>
        <v>#REF!</v>
      </c>
    </row>
    <row r="31" spans="1:28" s="91" customFormat="1" ht="17.25" customHeight="1">
      <c r="A31" s="997"/>
      <c r="B31" s="116">
        <f t="shared" si="7"/>
        <v>24</v>
      </c>
      <c r="C31" s="121">
        <f>'Food-Data Entry'!L30</f>
        <v>44919</v>
      </c>
      <c r="D31" s="122" t="str">
        <f>'Food-Data Entry'!O30</f>
        <v>Saturday</v>
      </c>
      <c r="E31" s="140">
        <f t="shared" si="10"/>
        <v>40</v>
      </c>
      <c r="F31" s="141">
        <f t="shared" si="11"/>
        <v>80</v>
      </c>
      <c r="G31" s="140">
        <f>'Food-Data Entry'!$AD30</f>
        <v>0</v>
      </c>
      <c r="H31" s="141">
        <f>'Food-Data Entry'!$AF30</f>
        <v>0</v>
      </c>
      <c r="I31" s="140">
        <f>'Food-Data Entry'!AH30</f>
        <v>0</v>
      </c>
      <c r="J31" s="141">
        <f>'Food-Data Entry'!AJ30</f>
        <v>0</v>
      </c>
      <c r="K31" s="221">
        <f t="shared" si="2"/>
        <v>40</v>
      </c>
      <c r="L31" s="222">
        <f t="shared" si="3"/>
        <v>80</v>
      </c>
      <c r="M31" s="140">
        <f>'Food-Data Entry'!AW30</f>
        <v>0</v>
      </c>
      <c r="N31" s="141">
        <f>'Food-Data Entry'!AX30</f>
        <v>0</v>
      </c>
      <c r="O31" s="221">
        <f t="shared" si="0"/>
        <v>40</v>
      </c>
      <c r="P31" s="227">
        <f t="shared" si="1"/>
        <v>80</v>
      </c>
      <c r="Q31" s="234">
        <f>'Food-Data Entry'!R30</f>
        <v>50</v>
      </c>
      <c r="R31" s="235">
        <f>'Food-Data Entry'!S30</f>
        <v>215</v>
      </c>
      <c r="S31" s="238">
        <f t="shared" si="4"/>
        <v>265</v>
      </c>
      <c r="T31" s="234">
        <f>'Food-Data Entry'!X30</f>
        <v>0</v>
      </c>
      <c r="U31" s="235">
        <f>'Food-Data Entry'!Y30</f>
        <v>0</v>
      </c>
      <c r="V31" s="238">
        <f t="shared" si="5"/>
        <v>0</v>
      </c>
      <c r="W31" s="234">
        <f>'Food-Data Entry'!X30</f>
        <v>0</v>
      </c>
      <c r="X31" s="235">
        <f>'Food-Data Entry'!Y30</f>
        <v>0</v>
      </c>
      <c r="Y31" s="238">
        <f t="shared" si="6"/>
        <v>0</v>
      </c>
      <c r="Z31" s="123"/>
      <c r="AA31" s="996"/>
      <c r="AB31" s="90" t="e">
        <f>#REF!+#REF!+#REF!+#REF!</f>
        <v>#REF!</v>
      </c>
    </row>
    <row r="32" spans="1:28" s="91" customFormat="1" ht="17.25" customHeight="1">
      <c r="A32" s="997"/>
      <c r="B32" s="116">
        <f t="shared" si="7"/>
        <v>25</v>
      </c>
      <c r="C32" s="121">
        <f>'Food-Data Entry'!L31</f>
        <v>44920</v>
      </c>
      <c r="D32" s="122" t="str">
        <f>'Food-Data Entry'!O31</f>
        <v>Holiday</v>
      </c>
      <c r="E32" s="140">
        <f t="shared" si="10"/>
        <v>40</v>
      </c>
      <c r="F32" s="141">
        <f t="shared" si="11"/>
        <v>80</v>
      </c>
      <c r="G32" s="140">
        <f>'Food-Data Entry'!$AD31</f>
        <v>0</v>
      </c>
      <c r="H32" s="141">
        <f>'Food-Data Entry'!$AF31</f>
        <v>0</v>
      </c>
      <c r="I32" s="140">
        <f>'Food-Data Entry'!AH31</f>
        <v>0</v>
      </c>
      <c r="J32" s="141">
        <f>'Food-Data Entry'!AJ31</f>
        <v>0</v>
      </c>
      <c r="K32" s="221">
        <f t="shared" si="2"/>
        <v>40</v>
      </c>
      <c r="L32" s="222">
        <f t="shared" si="3"/>
        <v>80</v>
      </c>
      <c r="M32" s="140">
        <f>'Food-Data Entry'!AW31</f>
        <v>0</v>
      </c>
      <c r="N32" s="141">
        <f>'Food-Data Entry'!AX31</f>
        <v>0</v>
      </c>
      <c r="O32" s="221">
        <f t="shared" si="0"/>
        <v>40</v>
      </c>
      <c r="P32" s="227">
        <f t="shared" si="1"/>
        <v>80</v>
      </c>
      <c r="Q32" s="234">
        <f>'Food-Data Entry'!R31</f>
        <v>50</v>
      </c>
      <c r="R32" s="235">
        <f>'Food-Data Entry'!S31</f>
        <v>215</v>
      </c>
      <c r="S32" s="238">
        <f t="shared" si="4"/>
        <v>265</v>
      </c>
      <c r="T32" s="234">
        <f>'Food-Data Entry'!X31</f>
        <v>0</v>
      </c>
      <c r="U32" s="235">
        <f>'Food-Data Entry'!Y31</f>
        <v>0</v>
      </c>
      <c r="V32" s="238">
        <f t="shared" si="5"/>
        <v>0</v>
      </c>
      <c r="W32" s="234">
        <f>'Food-Data Entry'!X31</f>
        <v>0</v>
      </c>
      <c r="X32" s="235">
        <f>'Food-Data Entry'!Y31</f>
        <v>0</v>
      </c>
      <c r="Y32" s="238">
        <f t="shared" si="6"/>
        <v>0</v>
      </c>
      <c r="Z32" s="123"/>
      <c r="AA32" s="996"/>
      <c r="AB32" s="90" t="e">
        <f>#REF!+#REF!+#REF!+#REF!</f>
        <v>#REF!</v>
      </c>
    </row>
    <row r="33" spans="1:29" s="91" customFormat="1" ht="17.25" customHeight="1">
      <c r="A33" s="997"/>
      <c r="B33" s="116">
        <f t="shared" si="7"/>
        <v>26</v>
      </c>
      <c r="C33" s="121">
        <f>'Food-Data Entry'!L32</f>
        <v>44921</v>
      </c>
      <c r="D33" s="122" t="str">
        <f>'Food-Data Entry'!O32</f>
        <v>Monday</v>
      </c>
      <c r="E33" s="140">
        <f t="shared" si="10"/>
        <v>40</v>
      </c>
      <c r="F33" s="141">
        <f t="shared" si="11"/>
        <v>80</v>
      </c>
      <c r="G33" s="140">
        <f>'Food-Data Entry'!$AD32</f>
        <v>0</v>
      </c>
      <c r="H33" s="141">
        <f>'Food-Data Entry'!$AF32</f>
        <v>0</v>
      </c>
      <c r="I33" s="140">
        <f>'Food-Data Entry'!AH32</f>
        <v>0</v>
      </c>
      <c r="J33" s="141">
        <f>'Food-Data Entry'!AJ32</f>
        <v>0</v>
      </c>
      <c r="K33" s="221">
        <f t="shared" si="2"/>
        <v>40</v>
      </c>
      <c r="L33" s="222">
        <f t="shared" si="3"/>
        <v>80</v>
      </c>
      <c r="M33" s="140">
        <f>'Food-Data Entry'!AW32</f>
        <v>0</v>
      </c>
      <c r="N33" s="141">
        <f>'Food-Data Entry'!AX32</f>
        <v>0</v>
      </c>
      <c r="O33" s="221">
        <f t="shared" si="0"/>
        <v>40</v>
      </c>
      <c r="P33" s="227">
        <f t="shared" si="1"/>
        <v>80</v>
      </c>
      <c r="Q33" s="234">
        <f>'Food-Data Entry'!R32</f>
        <v>50</v>
      </c>
      <c r="R33" s="235">
        <f>'Food-Data Entry'!S32</f>
        <v>215</v>
      </c>
      <c r="S33" s="238">
        <f t="shared" si="4"/>
        <v>265</v>
      </c>
      <c r="T33" s="234">
        <f>'Food-Data Entry'!X32</f>
        <v>0</v>
      </c>
      <c r="U33" s="235">
        <f>'Food-Data Entry'!Y32</f>
        <v>0</v>
      </c>
      <c r="V33" s="238">
        <f t="shared" si="5"/>
        <v>0</v>
      </c>
      <c r="W33" s="234">
        <f>'Food-Data Entry'!X32</f>
        <v>0</v>
      </c>
      <c r="X33" s="235">
        <f>'Food-Data Entry'!Y32</f>
        <v>0</v>
      </c>
      <c r="Y33" s="238">
        <f t="shared" si="6"/>
        <v>0</v>
      </c>
      <c r="Z33" s="123"/>
      <c r="AA33" s="996"/>
      <c r="AB33" s="90" t="e">
        <f>#REF!+#REF!+#REF!+#REF!</f>
        <v>#REF!</v>
      </c>
    </row>
    <row r="34" spans="1:29" s="91" customFormat="1" ht="17.25" customHeight="1">
      <c r="A34" s="997"/>
      <c r="B34" s="116">
        <f t="shared" si="7"/>
        <v>27</v>
      </c>
      <c r="C34" s="121">
        <f>'Food-Data Entry'!L33</f>
        <v>44922</v>
      </c>
      <c r="D34" s="122" t="str">
        <f>'Food-Data Entry'!O33</f>
        <v>Tuesday</v>
      </c>
      <c r="E34" s="140">
        <f t="shared" si="10"/>
        <v>40</v>
      </c>
      <c r="F34" s="141">
        <f t="shared" si="11"/>
        <v>80</v>
      </c>
      <c r="G34" s="140">
        <f>'Food-Data Entry'!$AD33</f>
        <v>0</v>
      </c>
      <c r="H34" s="141">
        <f>'Food-Data Entry'!$AF33</f>
        <v>0</v>
      </c>
      <c r="I34" s="140">
        <f>'Food-Data Entry'!AH33</f>
        <v>0</v>
      </c>
      <c r="J34" s="141">
        <f>'Food-Data Entry'!AJ33</f>
        <v>0</v>
      </c>
      <c r="K34" s="221">
        <f t="shared" si="2"/>
        <v>40</v>
      </c>
      <c r="L34" s="222">
        <f t="shared" si="3"/>
        <v>80</v>
      </c>
      <c r="M34" s="140">
        <f>'Food-Data Entry'!AW33</f>
        <v>0</v>
      </c>
      <c r="N34" s="141">
        <f>'Food-Data Entry'!AX33</f>
        <v>0</v>
      </c>
      <c r="O34" s="221">
        <f t="shared" si="0"/>
        <v>40</v>
      </c>
      <c r="P34" s="227">
        <f t="shared" si="1"/>
        <v>80</v>
      </c>
      <c r="Q34" s="234">
        <f>'Food-Data Entry'!R33</f>
        <v>50</v>
      </c>
      <c r="R34" s="235">
        <f>'Food-Data Entry'!S33</f>
        <v>215</v>
      </c>
      <c r="S34" s="238">
        <f t="shared" si="4"/>
        <v>265</v>
      </c>
      <c r="T34" s="234">
        <f>'Food-Data Entry'!X33</f>
        <v>0</v>
      </c>
      <c r="U34" s="235">
        <f>'Food-Data Entry'!Y33</f>
        <v>0</v>
      </c>
      <c r="V34" s="238">
        <f t="shared" si="5"/>
        <v>0</v>
      </c>
      <c r="W34" s="234">
        <f>'Food-Data Entry'!X33</f>
        <v>0</v>
      </c>
      <c r="X34" s="235">
        <f>'Food-Data Entry'!Y33</f>
        <v>0</v>
      </c>
      <c r="Y34" s="238">
        <f t="shared" si="6"/>
        <v>0</v>
      </c>
      <c r="Z34" s="123"/>
      <c r="AA34" s="996"/>
      <c r="AB34" s="90" t="e">
        <f>#REF!+#REF!+#REF!+#REF!</f>
        <v>#REF!</v>
      </c>
    </row>
    <row r="35" spans="1:29" s="91" customFormat="1" ht="17.25" customHeight="1">
      <c r="A35" s="997"/>
      <c r="B35" s="116">
        <f t="shared" si="7"/>
        <v>28</v>
      </c>
      <c r="C35" s="121">
        <f>'Food-Data Entry'!L34</f>
        <v>44923</v>
      </c>
      <c r="D35" s="122" t="str">
        <f>'Food-Data Entry'!O34</f>
        <v>Wednesday</v>
      </c>
      <c r="E35" s="140">
        <f t="shared" si="10"/>
        <v>40</v>
      </c>
      <c r="F35" s="141">
        <f t="shared" si="11"/>
        <v>80</v>
      </c>
      <c r="G35" s="140">
        <f>'Food-Data Entry'!$AD34</f>
        <v>0</v>
      </c>
      <c r="H35" s="141">
        <f>'Food-Data Entry'!$AF34</f>
        <v>0</v>
      </c>
      <c r="I35" s="140">
        <f>'Food-Data Entry'!AH34</f>
        <v>0</v>
      </c>
      <c r="J35" s="141">
        <f>'Food-Data Entry'!AJ34</f>
        <v>0</v>
      </c>
      <c r="K35" s="221">
        <f t="shared" si="2"/>
        <v>40</v>
      </c>
      <c r="L35" s="222">
        <f t="shared" si="3"/>
        <v>80</v>
      </c>
      <c r="M35" s="140">
        <f>'Food-Data Entry'!AW34</f>
        <v>0</v>
      </c>
      <c r="N35" s="141">
        <f>'Food-Data Entry'!AX34</f>
        <v>0</v>
      </c>
      <c r="O35" s="221">
        <f t="shared" si="0"/>
        <v>40</v>
      </c>
      <c r="P35" s="227">
        <f t="shared" si="1"/>
        <v>80</v>
      </c>
      <c r="Q35" s="234">
        <f>'Food-Data Entry'!R34</f>
        <v>50</v>
      </c>
      <c r="R35" s="235">
        <f>'Food-Data Entry'!S34</f>
        <v>215</v>
      </c>
      <c r="S35" s="238">
        <f t="shared" si="4"/>
        <v>265</v>
      </c>
      <c r="T35" s="234">
        <f>'Food-Data Entry'!X34</f>
        <v>0</v>
      </c>
      <c r="U35" s="235">
        <f>'Food-Data Entry'!Y34</f>
        <v>0</v>
      </c>
      <c r="V35" s="238">
        <f t="shared" si="5"/>
        <v>0</v>
      </c>
      <c r="W35" s="234">
        <f>'Food-Data Entry'!X34</f>
        <v>0</v>
      </c>
      <c r="X35" s="235">
        <f>'Food-Data Entry'!Y34</f>
        <v>0</v>
      </c>
      <c r="Y35" s="238">
        <f t="shared" si="6"/>
        <v>0</v>
      </c>
      <c r="Z35" s="123"/>
      <c r="AA35" s="996"/>
      <c r="AB35" s="90" t="e">
        <f>#REF!+#REF!+#REF!+#REF!</f>
        <v>#REF!</v>
      </c>
    </row>
    <row r="36" spans="1:29" s="91" customFormat="1" ht="17.25" customHeight="1">
      <c r="A36" s="997"/>
      <c r="B36" s="116">
        <f t="shared" si="7"/>
        <v>29</v>
      </c>
      <c r="C36" s="121">
        <f>'Food-Data Entry'!L35</f>
        <v>44924</v>
      </c>
      <c r="D36" s="122" t="str">
        <f>'Food-Data Entry'!O35</f>
        <v>Thursday</v>
      </c>
      <c r="E36" s="140">
        <f t="shared" si="10"/>
        <v>40</v>
      </c>
      <c r="F36" s="141">
        <f t="shared" si="11"/>
        <v>80</v>
      </c>
      <c r="G36" s="140">
        <f>'Food-Data Entry'!$AD35</f>
        <v>0</v>
      </c>
      <c r="H36" s="141">
        <f>'Food-Data Entry'!$AF35</f>
        <v>0</v>
      </c>
      <c r="I36" s="140">
        <f>'Food-Data Entry'!AH35</f>
        <v>0</v>
      </c>
      <c r="J36" s="141">
        <f>'Food-Data Entry'!AJ35</f>
        <v>0</v>
      </c>
      <c r="K36" s="221">
        <f t="shared" si="2"/>
        <v>40</v>
      </c>
      <c r="L36" s="222">
        <f t="shared" si="3"/>
        <v>80</v>
      </c>
      <c r="M36" s="140">
        <f>'Food-Data Entry'!AW35</f>
        <v>0</v>
      </c>
      <c r="N36" s="141">
        <f>'Food-Data Entry'!AX35</f>
        <v>0</v>
      </c>
      <c r="O36" s="221">
        <f t="shared" si="0"/>
        <v>40</v>
      </c>
      <c r="P36" s="227">
        <f t="shared" si="1"/>
        <v>80</v>
      </c>
      <c r="Q36" s="234">
        <f>'Food-Data Entry'!R35</f>
        <v>50</v>
      </c>
      <c r="R36" s="235">
        <f>'Food-Data Entry'!S35</f>
        <v>215</v>
      </c>
      <c r="S36" s="238">
        <f t="shared" si="4"/>
        <v>265</v>
      </c>
      <c r="T36" s="234">
        <f>'Food-Data Entry'!X35</f>
        <v>0</v>
      </c>
      <c r="U36" s="235">
        <f>'Food-Data Entry'!Y35</f>
        <v>0</v>
      </c>
      <c r="V36" s="238">
        <f t="shared" si="5"/>
        <v>0</v>
      </c>
      <c r="W36" s="234">
        <f>'Food-Data Entry'!X35</f>
        <v>0</v>
      </c>
      <c r="X36" s="235">
        <f>'Food-Data Entry'!Y35</f>
        <v>0</v>
      </c>
      <c r="Y36" s="238">
        <f t="shared" si="6"/>
        <v>0</v>
      </c>
      <c r="Z36" s="123"/>
      <c r="AA36" s="996"/>
      <c r="AB36" s="90" t="e">
        <f>#REF!+#REF!+#REF!+#REF!</f>
        <v>#REF!</v>
      </c>
    </row>
    <row r="37" spans="1:29" s="91" customFormat="1" ht="17.25" customHeight="1">
      <c r="A37" s="997"/>
      <c r="B37" s="116">
        <f t="shared" si="7"/>
        <v>30</v>
      </c>
      <c r="C37" s="121">
        <f>'Food-Data Entry'!L36</f>
        <v>44925</v>
      </c>
      <c r="D37" s="122" t="str">
        <f>'Food-Data Entry'!O36</f>
        <v>Friday</v>
      </c>
      <c r="E37" s="140">
        <f t="shared" si="10"/>
        <v>40</v>
      </c>
      <c r="F37" s="141">
        <f t="shared" si="11"/>
        <v>80</v>
      </c>
      <c r="G37" s="140">
        <f>'Food-Data Entry'!$AD36</f>
        <v>0</v>
      </c>
      <c r="H37" s="141">
        <f>'Food-Data Entry'!$AF36</f>
        <v>0</v>
      </c>
      <c r="I37" s="140">
        <f>'Food-Data Entry'!AH36</f>
        <v>0</v>
      </c>
      <c r="J37" s="141">
        <f>'Food-Data Entry'!AJ36</f>
        <v>0</v>
      </c>
      <c r="K37" s="221">
        <f t="shared" si="2"/>
        <v>40</v>
      </c>
      <c r="L37" s="222">
        <f t="shared" si="3"/>
        <v>80</v>
      </c>
      <c r="M37" s="140">
        <f>'Food-Data Entry'!AW36</f>
        <v>0</v>
      </c>
      <c r="N37" s="141">
        <f>'Food-Data Entry'!AX36</f>
        <v>0</v>
      </c>
      <c r="O37" s="221">
        <f t="shared" si="0"/>
        <v>40</v>
      </c>
      <c r="P37" s="227">
        <f t="shared" si="1"/>
        <v>80</v>
      </c>
      <c r="Q37" s="234">
        <f>'Food-Data Entry'!R36</f>
        <v>50</v>
      </c>
      <c r="R37" s="235">
        <f>'Food-Data Entry'!S36</f>
        <v>215</v>
      </c>
      <c r="S37" s="238">
        <f t="shared" si="4"/>
        <v>265</v>
      </c>
      <c r="T37" s="234">
        <f>'Food-Data Entry'!X36</f>
        <v>0</v>
      </c>
      <c r="U37" s="235">
        <f>'Food-Data Entry'!Y36</f>
        <v>0</v>
      </c>
      <c r="V37" s="238">
        <f t="shared" si="5"/>
        <v>0</v>
      </c>
      <c r="W37" s="234">
        <f>'Food-Data Entry'!X36</f>
        <v>0</v>
      </c>
      <c r="X37" s="235">
        <f>'Food-Data Entry'!Y36</f>
        <v>0</v>
      </c>
      <c r="Y37" s="238">
        <f t="shared" si="6"/>
        <v>0</v>
      </c>
      <c r="Z37" s="123"/>
      <c r="AA37" s="996"/>
      <c r="AB37" s="90" t="e">
        <f>#REF!+#REF!+#REF!+#REF!</f>
        <v>#REF!</v>
      </c>
    </row>
    <row r="38" spans="1:29" s="91" customFormat="1" ht="15" customHeight="1" thickBot="1">
      <c r="A38" s="997"/>
      <c r="B38" s="128">
        <f t="shared" si="7"/>
        <v>31</v>
      </c>
      <c r="C38" s="124">
        <f>'Food-Data Entry'!L37</f>
        <v>44926</v>
      </c>
      <c r="D38" s="125" t="str">
        <f>'Food-Data Entry'!O37</f>
        <v>Saturday</v>
      </c>
      <c r="E38" s="142">
        <f t="shared" si="10"/>
        <v>40</v>
      </c>
      <c r="F38" s="143">
        <f t="shared" si="11"/>
        <v>80</v>
      </c>
      <c r="G38" s="142">
        <f>'Food-Data Entry'!$AD37</f>
        <v>0</v>
      </c>
      <c r="H38" s="143">
        <f>'Food-Data Entry'!$AF37</f>
        <v>0</v>
      </c>
      <c r="I38" s="142">
        <f>'Food-Data Entry'!AH37</f>
        <v>0</v>
      </c>
      <c r="J38" s="143">
        <f>'Food-Data Entry'!AJ37</f>
        <v>0</v>
      </c>
      <c r="K38" s="223">
        <f t="shared" si="2"/>
        <v>40</v>
      </c>
      <c r="L38" s="224">
        <f t="shared" si="3"/>
        <v>80</v>
      </c>
      <c r="M38" s="145">
        <f>'Food-Data Entry'!AW37</f>
        <v>0</v>
      </c>
      <c r="N38" s="144">
        <f>'Food-Data Entry'!AX37</f>
        <v>0</v>
      </c>
      <c r="O38" s="228">
        <f t="shared" si="0"/>
        <v>40</v>
      </c>
      <c r="P38" s="229">
        <f t="shared" si="1"/>
        <v>80</v>
      </c>
      <c r="Q38" s="236">
        <f>'Food-Data Entry'!R37</f>
        <v>50</v>
      </c>
      <c r="R38" s="237">
        <f>'Food-Data Entry'!S37</f>
        <v>215</v>
      </c>
      <c r="S38" s="239">
        <f t="shared" si="4"/>
        <v>265</v>
      </c>
      <c r="T38" s="236">
        <f>'Food-Data Entry'!X37</f>
        <v>0</v>
      </c>
      <c r="U38" s="237">
        <f>'Food-Data Entry'!Y37</f>
        <v>0</v>
      </c>
      <c r="V38" s="239">
        <f t="shared" si="5"/>
        <v>0</v>
      </c>
      <c r="W38" s="236">
        <f>'Food-Data Entry'!X37</f>
        <v>0</v>
      </c>
      <c r="X38" s="237">
        <f>'Food-Data Entry'!Y37</f>
        <v>0</v>
      </c>
      <c r="Y38" s="239">
        <f t="shared" si="6"/>
        <v>0</v>
      </c>
      <c r="Z38" s="129"/>
      <c r="AA38" s="996"/>
      <c r="AB38" s="90" t="e">
        <f>#REF!+#REF!+#REF!+#REF!</f>
        <v>#REF!</v>
      </c>
    </row>
    <row r="39" spans="1:29" s="91" customFormat="1" ht="15" customHeight="1">
      <c r="A39" s="997"/>
      <c r="B39" s="1046" t="s">
        <v>325</v>
      </c>
      <c r="C39" s="1047"/>
      <c r="D39" s="240" t="s">
        <v>326</v>
      </c>
      <c r="E39" s="1050">
        <f>'Food-Data Entry'!AD38</f>
        <v>0</v>
      </c>
      <c r="F39" s="1050"/>
      <c r="G39" s="1051"/>
      <c r="H39" s="1046" t="s">
        <v>328</v>
      </c>
      <c r="I39" s="1047"/>
      <c r="J39" s="1052"/>
      <c r="K39" s="1054" t="s">
        <v>326</v>
      </c>
      <c r="L39" s="1055"/>
      <c r="M39" s="1050">
        <f>'Food-Data Entry'!AH38</f>
        <v>0</v>
      </c>
      <c r="N39" s="1050"/>
      <c r="O39" s="1051"/>
      <c r="P39" s="1056" t="s">
        <v>329</v>
      </c>
      <c r="Q39" s="1057"/>
      <c r="R39" s="1057"/>
      <c r="S39" s="1058"/>
      <c r="T39" s="1062" t="s">
        <v>330</v>
      </c>
      <c r="U39" s="1063"/>
      <c r="V39" s="1063"/>
      <c r="W39" s="1064">
        <f>O38</f>
        <v>40</v>
      </c>
      <c r="X39" s="1064"/>
      <c r="Y39" s="1064"/>
      <c r="Z39" s="1065"/>
      <c r="AA39" s="996"/>
      <c r="AB39" s="90"/>
    </row>
    <row r="40" spans="1:29" s="91" customFormat="1" ht="21" customHeight="1" thickBot="1">
      <c r="A40" s="997"/>
      <c r="B40" s="1048"/>
      <c r="C40" s="1049"/>
      <c r="D40" s="241" t="s">
        <v>327</v>
      </c>
      <c r="E40" s="1066">
        <f>'Food-Data Entry'!AF38</f>
        <v>0</v>
      </c>
      <c r="F40" s="1066"/>
      <c r="G40" s="1067"/>
      <c r="H40" s="1048"/>
      <c r="I40" s="1049"/>
      <c r="J40" s="1053"/>
      <c r="K40" s="1068" t="s">
        <v>327</v>
      </c>
      <c r="L40" s="1069"/>
      <c r="M40" s="1066">
        <f>'Food-Data Entry'!AJ38</f>
        <v>0</v>
      </c>
      <c r="N40" s="1066"/>
      <c r="O40" s="1067"/>
      <c r="P40" s="1059"/>
      <c r="Q40" s="1060"/>
      <c r="R40" s="1060"/>
      <c r="S40" s="1061"/>
      <c r="T40" s="1070" t="s">
        <v>331</v>
      </c>
      <c r="U40" s="1070"/>
      <c r="V40" s="1070"/>
      <c r="W40" s="1071">
        <f>P38</f>
        <v>80</v>
      </c>
      <c r="X40" s="1071"/>
      <c r="Y40" s="1071"/>
      <c r="Z40" s="1072"/>
      <c r="AA40" s="996"/>
      <c r="AB40" s="90"/>
    </row>
    <row r="41" spans="1:29" ht="15" customHeight="1" thickBot="1">
      <c r="A41" s="997"/>
      <c r="B41" s="1073"/>
      <c r="C41" s="1073"/>
      <c r="D41" s="1073"/>
      <c r="E41" s="1073"/>
      <c r="F41" s="1073"/>
      <c r="G41" s="1073"/>
      <c r="H41" s="1073"/>
      <c r="I41" s="1073"/>
      <c r="J41" s="1073"/>
      <c r="K41" s="1073"/>
      <c r="L41" s="1073"/>
      <c r="M41" s="1073"/>
      <c r="N41" s="1073"/>
      <c r="O41" s="92"/>
      <c r="P41" s="92"/>
      <c r="Q41" s="158"/>
      <c r="R41" s="158"/>
      <c r="S41" s="158"/>
      <c r="T41" s="158"/>
      <c r="U41" s="158"/>
      <c r="V41" s="158"/>
      <c r="W41" s="158"/>
      <c r="X41" s="158"/>
      <c r="Y41" s="158"/>
      <c r="Z41" s="86"/>
      <c r="AA41" s="996"/>
    </row>
    <row r="42" spans="1:29" ht="15.75" hidden="1" thickBot="1">
      <c r="A42" s="996"/>
      <c r="B42" s="996"/>
      <c r="C42" s="996"/>
      <c r="D42" s="996"/>
      <c r="E42" s="996"/>
      <c r="F42" s="996"/>
      <c r="G42" s="996"/>
      <c r="H42" s="996"/>
      <c r="I42" s="996"/>
      <c r="J42" s="996"/>
      <c r="K42" s="996"/>
      <c r="L42" s="996"/>
      <c r="M42" s="996"/>
      <c r="N42" s="996"/>
      <c r="O42" s="996"/>
      <c r="P42" s="996"/>
      <c r="Q42" s="996"/>
      <c r="R42" s="996"/>
      <c r="S42" s="996"/>
      <c r="T42" s="996"/>
      <c r="U42" s="996"/>
      <c r="V42" s="996"/>
      <c r="W42" s="996"/>
      <c r="X42" s="996"/>
      <c r="Y42" s="996"/>
      <c r="Z42" s="996"/>
      <c r="AA42" s="996"/>
    </row>
    <row r="43" spans="1:29" s="115" customFormat="1" ht="25.5" customHeight="1" thickBot="1">
      <c r="A43" s="997"/>
      <c r="B43" s="998" t="str">
        <f>'Food-Data Entry'!B2</f>
        <v>dk;kZy;%jktdh; mPp ek/;fed fo|ky; jk;eyok³k ¼ckfi.kh½] tks/kiqj</v>
      </c>
      <c r="C43" s="999"/>
      <c r="D43" s="999"/>
      <c r="E43" s="1000"/>
      <c r="F43" s="1000"/>
      <c r="G43" s="1000"/>
      <c r="H43" s="1000"/>
      <c r="I43" s="1000"/>
      <c r="J43" s="1000"/>
      <c r="K43" s="1000"/>
      <c r="L43" s="1000"/>
      <c r="M43" s="1000"/>
      <c r="N43" s="1000"/>
      <c r="O43" s="999"/>
      <c r="P43" s="999"/>
      <c r="Q43" s="999"/>
      <c r="R43" s="999"/>
      <c r="S43" s="999"/>
      <c r="T43" s="999"/>
      <c r="U43" s="999"/>
      <c r="V43" s="999"/>
      <c r="W43" s="999"/>
      <c r="X43" s="999"/>
      <c r="Y43" s="999"/>
      <c r="Z43" s="1001"/>
      <c r="AA43" s="996"/>
      <c r="AC43" s="126">
        <f>EOMONTH('Food-Data Entry'!AM3,-1)+1</f>
        <v>44896</v>
      </c>
    </row>
    <row r="44" spans="1:29" ht="22.5" customHeight="1" thickBot="1">
      <c r="A44" s="997"/>
      <c r="B44" s="1002"/>
      <c r="C44" s="1003"/>
      <c r="D44" s="1004"/>
      <c r="E44" s="1005" t="s">
        <v>334</v>
      </c>
      <c r="F44" s="1006"/>
      <c r="G44" s="1006"/>
      <c r="H44" s="1006"/>
      <c r="I44" s="1006"/>
      <c r="J44" s="1006"/>
      <c r="K44" s="1006"/>
      <c r="L44" s="1006"/>
      <c r="M44" s="1006"/>
      <c r="N44" s="1006"/>
      <c r="O44" s="1006"/>
      <c r="P44" s="1007" t="e">
        <f>#REF!</f>
        <v>#REF!</v>
      </c>
      <c r="Q44" s="1008"/>
      <c r="R44" s="1008"/>
      <c r="S44" s="1008"/>
      <c r="T44" s="1008"/>
      <c r="U44" s="1008"/>
      <c r="V44" s="1008"/>
      <c r="W44" s="1008"/>
      <c r="X44" s="1008"/>
      <c r="Y44" s="1008"/>
      <c r="Z44" s="1009"/>
      <c r="AA44" s="996"/>
      <c r="AC44" s="127">
        <f>EOMONTH('Food-Data Entry'!AM3,0)</f>
        <v>44926</v>
      </c>
    </row>
    <row r="45" spans="1:29" ht="21" thickBot="1">
      <c r="A45" s="997"/>
      <c r="B45" s="1010" t="s">
        <v>248</v>
      </c>
      <c r="C45" s="1014" t="s">
        <v>263</v>
      </c>
      <c r="D45" s="1018" t="s">
        <v>116</v>
      </c>
      <c r="E45" s="1021" t="s">
        <v>284</v>
      </c>
      <c r="F45" s="1022"/>
      <c r="G45" s="1022"/>
      <c r="H45" s="1022"/>
      <c r="I45" s="1022"/>
      <c r="J45" s="1022"/>
      <c r="K45" s="1022"/>
      <c r="L45" s="1022"/>
      <c r="M45" s="1022"/>
      <c r="N45" s="1022"/>
      <c r="O45" s="1022"/>
      <c r="P45" s="1023"/>
      <c r="Q45" s="1024" t="s">
        <v>333</v>
      </c>
      <c r="R45" s="1025"/>
      <c r="S45" s="1025"/>
      <c r="T45" s="1025"/>
      <c r="U45" s="1025"/>
      <c r="V45" s="1025"/>
      <c r="W45" s="1025"/>
      <c r="X45" s="1025"/>
      <c r="Y45" s="1026"/>
      <c r="Z45" s="1027" t="s">
        <v>264</v>
      </c>
      <c r="AA45" s="996"/>
    </row>
    <row r="46" spans="1:29" ht="26.25" customHeight="1">
      <c r="A46" s="997"/>
      <c r="B46" s="1011"/>
      <c r="C46" s="1015"/>
      <c r="D46" s="1019"/>
      <c r="E46" s="1030" t="s">
        <v>265</v>
      </c>
      <c r="F46" s="1031"/>
      <c r="G46" s="1030" t="s">
        <v>316</v>
      </c>
      <c r="H46" s="1031"/>
      <c r="I46" s="1030" t="s">
        <v>317</v>
      </c>
      <c r="J46" s="1031"/>
      <c r="K46" s="1032" t="s">
        <v>266</v>
      </c>
      <c r="L46" s="1033"/>
      <c r="M46" s="1030" t="s">
        <v>287</v>
      </c>
      <c r="N46" s="1031"/>
      <c r="O46" s="1034" t="s">
        <v>267</v>
      </c>
      <c r="P46" s="1035"/>
      <c r="Q46" s="1036" t="s">
        <v>318</v>
      </c>
      <c r="R46" s="1037"/>
      <c r="S46" s="1038"/>
      <c r="T46" s="1036" t="s">
        <v>319</v>
      </c>
      <c r="U46" s="1037"/>
      <c r="V46" s="1038"/>
      <c r="W46" s="1036" t="s">
        <v>320</v>
      </c>
      <c r="X46" s="1037"/>
      <c r="Y46" s="1038"/>
      <c r="Z46" s="1028"/>
      <c r="AA46" s="996"/>
    </row>
    <row r="47" spans="1:29" ht="15" customHeight="1">
      <c r="A47" s="997"/>
      <c r="B47" s="1012"/>
      <c r="C47" s="1016"/>
      <c r="D47" s="1019"/>
      <c r="E47" s="1039" t="s">
        <v>269</v>
      </c>
      <c r="F47" s="1040"/>
      <c r="G47" s="1039" t="s">
        <v>269</v>
      </c>
      <c r="H47" s="1040"/>
      <c r="I47" s="1039" t="s">
        <v>269</v>
      </c>
      <c r="J47" s="1040"/>
      <c r="K47" s="1041" t="s">
        <v>269</v>
      </c>
      <c r="L47" s="1042"/>
      <c r="M47" s="1039" t="s">
        <v>269</v>
      </c>
      <c r="N47" s="1040"/>
      <c r="O47" s="1041" t="s">
        <v>269</v>
      </c>
      <c r="P47" s="1042"/>
      <c r="Q47" s="1043" t="s">
        <v>269</v>
      </c>
      <c r="R47" s="1044"/>
      <c r="S47" s="1045"/>
      <c r="T47" s="1043" t="s">
        <v>269</v>
      </c>
      <c r="U47" s="1044"/>
      <c r="V47" s="1045"/>
      <c r="W47" s="1043" t="s">
        <v>269</v>
      </c>
      <c r="X47" s="1044"/>
      <c r="Y47" s="1045"/>
      <c r="Z47" s="1028"/>
      <c r="AA47" s="996"/>
    </row>
    <row r="48" spans="1:29" ht="16.5" customHeight="1" thickBot="1">
      <c r="A48" s="997"/>
      <c r="B48" s="1013"/>
      <c r="C48" s="1017"/>
      <c r="D48" s="1020"/>
      <c r="E48" s="159" t="s">
        <v>285</v>
      </c>
      <c r="F48" s="200" t="s">
        <v>286</v>
      </c>
      <c r="G48" s="159" t="s">
        <v>285</v>
      </c>
      <c r="H48" s="200" t="s">
        <v>286</v>
      </c>
      <c r="I48" s="159" t="s">
        <v>285</v>
      </c>
      <c r="J48" s="200" t="s">
        <v>286</v>
      </c>
      <c r="K48" s="217" t="s">
        <v>285</v>
      </c>
      <c r="L48" s="218" t="s">
        <v>286</v>
      </c>
      <c r="M48" s="159" t="s">
        <v>285</v>
      </c>
      <c r="N48" s="200" t="s">
        <v>286</v>
      </c>
      <c r="O48" s="217" t="s">
        <v>285</v>
      </c>
      <c r="P48" s="225" t="s">
        <v>286</v>
      </c>
      <c r="Q48" s="88" t="s">
        <v>321</v>
      </c>
      <c r="R48" s="89" t="s">
        <v>322</v>
      </c>
      <c r="S48" s="201" t="s">
        <v>270</v>
      </c>
      <c r="T48" s="88" t="s">
        <v>321</v>
      </c>
      <c r="U48" s="89" t="s">
        <v>322</v>
      </c>
      <c r="V48" s="201" t="s">
        <v>270</v>
      </c>
      <c r="W48" s="88" t="s">
        <v>321</v>
      </c>
      <c r="X48" s="89" t="s">
        <v>322</v>
      </c>
      <c r="Y48" s="201" t="s">
        <v>270</v>
      </c>
      <c r="Z48" s="1029"/>
      <c r="AA48" s="996"/>
    </row>
    <row r="49" spans="1:28" s="91" customFormat="1" ht="17.25" customHeight="1">
      <c r="A49" s="997"/>
      <c r="B49" s="116">
        <f>IF(C49&lt;AC44,1,0)</f>
        <v>1</v>
      </c>
      <c r="C49" s="117">
        <f>'Food-Data Entry'!L7</f>
        <v>44896</v>
      </c>
      <c r="D49" s="118" t="str">
        <f>'Food-Data Entry'!O7</f>
        <v>Thursday</v>
      </c>
      <c r="E49" s="198">
        <f>('Food-Data Entry'!D12+'Food-Data Entry'!E12+'Food-Data Entry'!H12)-'Food-Data Entry'!J12</f>
        <v>20</v>
      </c>
      <c r="F49" s="199">
        <f>('Food-Data Entry'!D13+'Food-Data Entry'!E13+'Food-Data Entry'!H13)-'Food-Data Entry'!J13</f>
        <v>20</v>
      </c>
      <c r="G49" s="198">
        <f>'Food-Data Entry'!AE7</f>
        <v>0</v>
      </c>
      <c r="H49" s="199">
        <f>'Food-Data Entry'!AG7</f>
        <v>0</v>
      </c>
      <c r="I49" s="198">
        <f>'Food-Data Entry'!AI7</f>
        <v>0</v>
      </c>
      <c r="J49" s="199">
        <f>'Food-Data Entry'!AK7</f>
        <v>0</v>
      </c>
      <c r="K49" s="219">
        <f t="shared" ref="K49:K79" si="12">E49+G49+I49</f>
        <v>20</v>
      </c>
      <c r="L49" s="220">
        <f t="shared" ref="L49:L79" si="13">F49+H49+J49</f>
        <v>20</v>
      </c>
      <c r="M49" s="198">
        <f>'Food-Data Entry'!AY7</f>
        <v>0</v>
      </c>
      <c r="N49" s="199">
        <f>'Food-Data Entry'!AZ7</f>
        <v>0</v>
      </c>
      <c r="O49" s="219">
        <f t="shared" ref="O49:O79" si="14">K49-M49</f>
        <v>20</v>
      </c>
      <c r="P49" s="226">
        <f t="shared" ref="P49:P79" si="15">L49-N49</f>
        <v>20</v>
      </c>
      <c r="Q49" s="230">
        <f>'Food-Data Entry'!U7</f>
        <v>30</v>
      </c>
      <c r="R49" s="231">
        <f>'Food-Data Entry'!V7</f>
        <v>43</v>
      </c>
      <c r="S49" s="233">
        <f t="shared" ref="S49:S79" si="16">SUM(Q49:R49)</f>
        <v>73</v>
      </c>
      <c r="T49" s="230">
        <f>'Food-Data Entry'!AA7</f>
        <v>0</v>
      </c>
      <c r="U49" s="232">
        <f>'Food-Data Entry'!AB7</f>
        <v>0</v>
      </c>
      <c r="V49" s="233">
        <f t="shared" ref="V49:V79" si="17">SUM(T49:U49)</f>
        <v>0</v>
      </c>
      <c r="W49" s="230">
        <f>'Food-Data Entry'!AA7</f>
        <v>0</v>
      </c>
      <c r="X49" s="232">
        <f>'Food-Data Entry'!AB7</f>
        <v>0</v>
      </c>
      <c r="Y49" s="233">
        <f t="shared" ref="Y49:Y79" si="18">SUM(W49:X49)</f>
        <v>0</v>
      </c>
      <c r="Z49" s="119"/>
      <c r="AA49" s="996"/>
      <c r="AB49" s="90" t="e">
        <f>#REF!+#REF!+#REF!+#REF!</f>
        <v>#REF!</v>
      </c>
    </row>
    <row r="50" spans="1:28" s="91" customFormat="1" ht="17.25" customHeight="1">
      <c r="A50" s="997"/>
      <c r="B50" s="116">
        <f t="shared" ref="B50:B79" si="19">IF(C50&lt;=$AC$44,B49+1,0)</f>
        <v>2</v>
      </c>
      <c r="C50" s="117">
        <f>'Food-Data Entry'!L8</f>
        <v>44897</v>
      </c>
      <c r="D50" s="118" t="str">
        <f>'Food-Data Entry'!O8</f>
        <v>Friday</v>
      </c>
      <c r="E50" s="140">
        <f t="shared" ref="E50:E79" si="20">O49</f>
        <v>20</v>
      </c>
      <c r="F50" s="141">
        <f t="shared" ref="F50:F79" si="21">P49</f>
        <v>20</v>
      </c>
      <c r="G50" s="140">
        <f>'Food-Data Entry'!AE8</f>
        <v>0</v>
      </c>
      <c r="H50" s="141">
        <f>'Food-Data Entry'!AG8</f>
        <v>0</v>
      </c>
      <c r="I50" s="140">
        <f>'Food-Data Entry'!AI8</f>
        <v>0</v>
      </c>
      <c r="J50" s="141">
        <f>'Food-Data Entry'!AK8</f>
        <v>0</v>
      </c>
      <c r="K50" s="221">
        <f t="shared" si="12"/>
        <v>20</v>
      </c>
      <c r="L50" s="222">
        <f t="shared" si="13"/>
        <v>20</v>
      </c>
      <c r="M50" s="140">
        <f>'Food-Data Entry'!AY8</f>
        <v>0</v>
      </c>
      <c r="N50" s="141">
        <f>'Food-Data Entry'!AZ8</f>
        <v>0</v>
      </c>
      <c r="O50" s="221">
        <f t="shared" si="14"/>
        <v>20</v>
      </c>
      <c r="P50" s="227">
        <f t="shared" si="15"/>
        <v>20</v>
      </c>
      <c r="Q50" s="234">
        <f>'Food-Data Entry'!U8</f>
        <v>30</v>
      </c>
      <c r="R50" s="235">
        <f>'Food-Data Entry'!V8</f>
        <v>43</v>
      </c>
      <c r="S50" s="238">
        <f t="shared" si="16"/>
        <v>73</v>
      </c>
      <c r="T50" s="234">
        <f>'Food-Data Entry'!AA8</f>
        <v>0</v>
      </c>
      <c r="U50" s="235">
        <f>'Food-Data Entry'!AB8</f>
        <v>0</v>
      </c>
      <c r="V50" s="238">
        <f t="shared" si="17"/>
        <v>0</v>
      </c>
      <c r="W50" s="234">
        <f>'Food-Data Entry'!AA8</f>
        <v>0</v>
      </c>
      <c r="X50" s="235">
        <f>'Food-Data Entry'!AB8</f>
        <v>0</v>
      </c>
      <c r="Y50" s="238">
        <f t="shared" si="18"/>
        <v>0</v>
      </c>
      <c r="Z50" s="120"/>
      <c r="AA50" s="996"/>
      <c r="AB50" s="90" t="e">
        <f>#REF!+#REF!+#REF!+#REF!</f>
        <v>#REF!</v>
      </c>
    </row>
    <row r="51" spans="1:28" s="91" customFormat="1" ht="17.25" customHeight="1">
      <c r="A51" s="997"/>
      <c r="B51" s="116">
        <f t="shared" si="19"/>
        <v>3</v>
      </c>
      <c r="C51" s="117">
        <f>'Food-Data Entry'!L9</f>
        <v>44898</v>
      </c>
      <c r="D51" s="118" t="str">
        <f>'Food-Data Entry'!O9</f>
        <v>Saturday</v>
      </c>
      <c r="E51" s="140">
        <f t="shared" si="20"/>
        <v>20</v>
      </c>
      <c r="F51" s="141">
        <f t="shared" si="21"/>
        <v>20</v>
      </c>
      <c r="G51" s="140">
        <f>'Food-Data Entry'!AE9</f>
        <v>0</v>
      </c>
      <c r="H51" s="141">
        <f>'Food-Data Entry'!AG9</f>
        <v>0</v>
      </c>
      <c r="I51" s="140">
        <f>'Food-Data Entry'!AI9</f>
        <v>0</v>
      </c>
      <c r="J51" s="141">
        <f>'Food-Data Entry'!AK9</f>
        <v>0</v>
      </c>
      <c r="K51" s="221">
        <f t="shared" si="12"/>
        <v>20</v>
      </c>
      <c r="L51" s="222">
        <f t="shared" si="13"/>
        <v>20</v>
      </c>
      <c r="M51" s="140">
        <f>'Food-Data Entry'!AY9</f>
        <v>0</v>
      </c>
      <c r="N51" s="141">
        <f>'Food-Data Entry'!AZ9</f>
        <v>0</v>
      </c>
      <c r="O51" s="221">
        <f t="shared" si="14"/>
        <v>20</v>
      </c>
      <c r="P51" s="227">
        <f t="shared" si="15"/>
        <v>20</v>
      </c>
      <c r="Q51" s="234">
        <f>'Food-Data Entry'!U9</f>
        <v>30</v>
      </c>
      <c r="R51" s="235">
        <f>'Food-Data Entry'!V9</f>
        <v>43</v>
      </c>
      <c r="S51" s="238">
        <f t="shared" si="16"/>
        <v>73</v>
      </c>
      <c r="T51" s="234">
        <f>'Food-Data Entry'!AA9</f>
        <v>0</v>
      </c>
      <c r="U51" s="235">
        <f>'Food-Data Entry'!AB9</f>
        <v>0</v>
      </c>
      <c r="V51" s="238">
        <f t="shared" si="17"/>
        <v>0</v>
      </c>
      <c r="W51" s="234">
        <f>'Food-Data Entry'!AA9</f>
        <v>0</v>
      </c>
      <c r="X51" s="235">
        <f>'Food-Data Entry'!AB9</f>
        <v>0</v>
      </c>
      <c r="Y51" s="238">
        <f t="shared" si="18"/>
        <v>0</v>
      </c>
      <c r="Z51" s="120"/>
      <c r="AA51" s="996"/>
      <c r="AB51" s="90" t="e">
        <f>#REF!+#REF!+#REF!+#REF!</f>
        <v>#REF!</v>
      </c>
    </row>
    <row r="52" spans="1:28" s="91" customFormat="1" ht="17.25" customHeight="1">
      <c r="A52" s="997"/>
      <c r="B52" s="116">
        <f t="shared" si="19"/>
        <v>4</v>
      </c>
      <c r="C52" s="117">
        <f>'Food-Data Entry'!L10</f>
        <v>44899</v>
      </c>
      <c r="D52" s="118" t="str">
        <f>'Food-Data Entry'!O10</f>
        <v>Holiday</v>
      </c>
      <c r="E52" s="140">
        <f t="shared" si="20"/>
        <v>20</v>
      </c>
      <c r="F52" s="141">
        <f t="shared" si="21"/>
        <v>20</v>
      </c>
      <c r="G52" s="140">
        <f>'Food-Data Entry'!AE10</f>
        <v>0</v>
      </c>
      <c r="H52" s="141">
        <f>'Food-Data Entry'!AG10</f>
        <v>0</v>
      </c>
      <c r="I52" s="140">
        <f>'Food-Data Entry'!AI10</f>
        <v>0</v>
      </c>
      <c r="J52" s="141">
        <f>'Food-Data Entry'!AK10</f>
        <v>0</v>
      </c>
      <c r="K52" s="221">
        <f t="shared" si="12"/>
        <v>20</v>
      </c>
      <c r="L52" s="222">
        <f t="shared" si="13"/>
        <v>20</v>
      </c>
      <c r="M52" s="140">
        <f>'Food-Data Entry'!AY10</f>
        <v>0</v>
      </c>
      <c r="N52" s="141">
        <f>'Food-Data Entry'!AZ10</f>
        <v>0</v>
      </c>
      <c r="O52" s="221">
        <f t="shared" si="14"/>
        <v>20</v>
      </c>
      <c r="P52" s="227">
        <f t="shared" si="15"/>
        <v>20</v>
      </c>
      <c r="Q52" s="234">
        <f>'Food-Data Entry'!U10</f>
        <v>30</v>
      </c>
      <c r="R52" s="235">
        <f>'Food-Data Entry'!V10</f>
        <v>43</v>
      </c>
      <c r="S52" s="238">
        <f t="shared" si="16"/>
        <v>73</v>
      </c>
      <c r="T52" s="234">
        <f>'Food-Data Entry'!AA10</f>
        <v>0</v>
      </c>
      <c r="U52" s="235">
        <f>'Food-Data Entry'!AB10</f>
        <v>0</v>
      </c>
      <c r="V52" s="238">
        <f t="shared" si="17"/>
        <v>0</v>
      </c>
      <c r="W52" s="234">
        <f>'Food-Data Entry'!AA10</f>
        <v>0</v>
      </c>
      <c r="X52" s="235">
        <f>'Food-Data Entry'!AB10</f>
        <v>0</v>
      </c>
      <c r="Y52" s="238">
        <f t="shared" si="18"/>
        <v>0</v>
      </c>
      <c r="Z52" s="120"/>
      <c r="AA52" s="996"/>
      <c r="AB52" s="90" t="e">
        <f>#REF!+#REF!+#REF!+#REF!</f>
        <v>#REF!</v>
      </c>
    </row>
    <row r="53" spans="1:28" s="91" customFormat="1" ht="17.25" customHeight="1">
      <c r="A53" s="997"/>
      <c r="B53" s="116">
        <f t="shared" si="19"/>
        <v>5</v>
      </c>
      <c r="C53" s="117">
        <f>'Food-Data Entry'!L11</f>
        <v>44900</v>
      </c>
      <c r="D53" s="118" t="str">
        <f>'Food-Data Entry'!O11</f>
        <v>Monday</v>
      </c>
      <c r="E53" s="140">
        <f t="shared" si="20"/>
        <v>20</v>
      </c>
      <c r="F53" s="141">
        <f t="shared" si="21"/>
        <v>20</v>
      </c>
      <c r="G53" s="140">
        <f>'Food-Data Entry'!AE11</f>
        <v>0</v>
      </c>
      <c r="H53" s="141">
        <f>'Food-Data Entry'!AG11</f>
        <v>0</v>
      </c>
      <c r="I53" s="140">
        <f>'Food-Data Entry'!AI11</f>
        <v>0</v>
      </c>
      <c r="J53" s="141">
        <f>'Food-Data Entry'!AK11</f>
        <v>0</v>
      </c>
      <c r="K53" s="221">
        <f t="shared" si="12"/>
        <v>20</v>
      </c>
      <c r="L53" s="222">
        <f t="shared" si="13"/>
        <v>20</v>
      </c>
      <c r="M53" s="140">
        <f>'Food-Data Entry'!AY11</f>
        <v>0</v>
      </c>
      <c r="N53" s="141">
        <f>'Food-Data Entry'!AZ11</f>
        <v>0</v>
      </c>
      <c r="O53" s="221">
        <f t="shared" si="14"/>
        <v>20</v>
      </c>
      <c r="P53" s="227">
        <f t="shared" si="15"/>
        <v>20</v>
      </c>
      <c r="Q53" s="234">
        <f>'Food-Data Entry'!U11</f>
        <v>30</v>
      </c>
      <c r="R53" s="235">
        <f>'Food-Data Entry'!V11</f>
        <v>43</v>
      </c>
      <c r="S53" s="238">
        <f t="shared" si="16"/>
        <v>73</v>
      </c>
      <c r="T53" s="234">
        <f>'Food-Data Entry'!AA11</f>
        <v>0</v>
      </c>
      <c r="U53" s="235">
        <f>'Food-Data Entry'!AB11</f>
        <v>0</v>
      </c>
      <c r="V53" s="238">
        <f t="shared" si="17"/>
        <v>0</v>
      </c>
      <c r="W53" s="234">
        <f>'Food-Data Entry'!AA11</f>
        <v>0</v>
      </c>
      <c r="X53" s="235">
        <f>'Food-Data Entry'!AB11</f>
        <v>0</v>
      </c>
      <c r="Y53" s="238">
        <f t="shared" si="18"/>
        <v>0</v>
      </c>
      <c r="Z53" s="120"/>
      <c r="AA53" s="996"/>
      <c r="AB53" s="90" t="e">
        <f>#REF!+#REF!+#REF!+#REF!</f>
        <v>#REF!</v>
      </c>
    </row>
    <row r="54" spans="1:28" s="91" customFormat="1" ht="17.25" customHeight="1">
      <c r="A54" s="997"/>
      <c r="B54" s="116">
        <f t="shared" si="19"/>
        <v>6</v>
      </c>
      <c r="C54" s="117">
        <f>'Food-Data Entry'!L12</f>
        <v>44901</v>
      </c>
      <c r="D54" s="118" t="str">
        <f>'Food-Data Entry'!O12</f>
        <v>Tuesday</v>
      </c>
      <c r="E54" s="140">
        <f t="shared" si="20"/>
        <v>20</v>
      </c>
      <c r="F54" s="141">
        <f t="shared" si="21"/>
        <v>20</v>
      </c>
      <c r="G54" s="140">
        <f>'Food-Data Entry'!AE12</f>
        <v>0</v>
      </c>
      <c r="H54" s="141">
        <f>'Food-Data Entry'!AG12</f>
        <v>0</v>
      </c>
      <c r="I54" s="140">
        <f>'Food-Data Entry'!AI12</f>
        <v>0</v>
      </c>
      <c r="J54" s="141">
        <f>'Food-Data Entry'!AK12</f>
        <v>0</v>
      </c>
      <c r="K54" s="221">
        <f t="shared" si="12"/>
        <v>20</v>
      </c>
      <c r="L54" s="222">
        <f t="shared" si="13"/>
        <v>20</v>
      </c>
      <c r="M54" s="140">
        <f>'Food-Data Entry'!AY12</f>
        <v>0</v>
      </c>
      <c r="N54" s="141">
        <f>'Food-Data Entry'!AZ12</f>
        <v>0</v>
      </c>
      <c r="O54" s="221">
        <f t="shared" si="14"/>
        <v>20</v>
      </c>
      <c r="P54" s="227">
        <f t="shared" si="15"/>
        <v>20</v>
      </c>
      <c r="Q54" s="234">
        <f>'Food-Data Entry'!U12</f>
        <v>30</v>
      </c>
      <c r="R54" s="235">
        <f>'Food-Data Entry'!V12</f>
        <v>43</v>
      </c>
      <c r="S54" s="238">
        <f t="shared" si="16"/>
        <v>73</v>
      </c>
      <c r="T54" s="234">
        <f>'Food-Data Entry'!AA12</f>
        <v>0</v>
      </c>
      <c r="U54" s="235">
        <f>'Food-Data Entry'!AB12</f>
        <v>0</v>
      </c>
      <c r="V54" s="238">
        <f t="shared" si="17"/>
        <v>0</v>
      </c>
      <c r="W54" s="234">
        <f>'Food-Data Entry'!AA12</f>
        <v>0</v>
      </c>
      <c r="X54" s="235">
        <f>'Food-Data Entry'!AB12</f>
        <v>0</v>
      </c>
      <c r="Y54" s="238">
        <f t="shared" si="18"/>
        <v>0</v>
      </c>
      <c r="Z54" s="120"/>
      <c r="AA54" s="996"/>
      <c r="AB54" s="90" t="e">
        <f>#REF!+#REF!+#REF!+#REF!</f>
        <v>#REF!</v>
      </c>
    </row>
    <row r="55" spans="1:28" s="91" customFormat="1" ht="17.25" customHeight="1">
      <c r="A55" s="997"/>
      <c r="B55" s="116">
        <f t="shared" si="19"/>
        <v>7</v>
      </c>
      <c r="C55" s="117">
        <f>'Food-Data Entry'!L13</f>
        <v>44902</v>
      </c>
      <c r="D55" s="118" t="str">
        <f>'Food-Data Entry'!O13</f>
        <v>Wednesday</v>
      </c>
      <c r="E55" s="140">
        <f t="shared" si="20"/>
        <v>20</v>
      </c>
      <c r="F55" s="141">
        <f t="shared" si="21"/>
        <v>20</v>
      </c>
      <c r="G55" s="140">
        <f>'Food-Data Entry'!AE13</f>
        <v>0</v>
      </c>
      <c r="H55" s="141">
        <f>'Food-Data Entry'!AG13</f>
        <v>0</v>
      </c>
      <c r="I55" s="140">
        <f>'Food-Data Entry'!AI13</f>
        <v>0</v>
      </c>
      <c r="J55" s="141">
        <f>'Food-Data Entry'!AK13</f>
        <v>0</v>
      </c>
      <c r="K55" s="221">
        <f t="shared" si="12"/>
        <v>20</v>
      </c>
      <c r="L55" s="222">
        <f t="shared" si="13"/>
        <v>20</v>
      </c>
      <c r="M55" s="140">
        <f>'Food-Data Entry'!AY13</f>
        <v>0</v>
      </c>
      <c r="N55" s="141">
        <f>'Food-Data Entry'!AZ13</f>
        <v>0</v>
      </c>
      <c r="O55" s="221">
        <f t="shared" si="14"/>
        <v>20</v>
      </c>
      <c r="P55" s="227">
        <f t="shared" si="15"/>
        <v>20</v>
      </c>
      <c r="Q55" s="234">
        <f>'Food-Data Entry'!U13</f>
        <v>30</v>
      </c>
      <c r="R55" s="235">
        <f>'Food-Data Entry'!V13</f>
        <v>43</v>
      </c>
      <c r="S55" s="238">
        <f t="shared" si="16"/>
        <v>73</v>
      </c>
      <c r="T55" s="234">
        <f>'Food-Data Entry'!AA13</f>
        <v>0</v>
      </c>
      <c r="U55" s="235">
        <f>'Food-Data Entry'!AB13</f>
        <v>0</v>
      </c>
      <c r="V55" s="238">
        <f t="shared" si="17"/>
        <v>0</v>
      </c>
      <c r="W55" s="234">
        <f>'Food-Data Entry'!AA13</f>
        <v>0</v>
      </c>
      <c r="X55" s="235">
        <f>'Food-Data Entry'!AB13</f>
        <v>0</v>
      </c>
      <c r="Y55" s="238">
        <f t="shared" si="18"/>
        <v>0</v>
      </c>
      <c r="Z55" s="120"/>
      <c r="AA55" s="996"/>
      <c r="AB55" s="90" t="e">
        <f>#REF!+#REF!+#REF!+#REF!</f>
        <v>#REF!</v>
      </c>
    </row>
    <row r="56" spans="1:28" s="91" customFormat="1" ht="17.25" customHeight="1">
      <c r="A56" s="997"/>
      <c r="B56" s="116">
        <f t="shared" si="19"/>
        <v>8</v>
      </c>
      <c r="C56" s="117">
        <f>'Food-Data Entry'!L14</f>
        <v>44903</v>
      </c>
      <c r="D56" s="118" t="str">
        <f>'Food-Data Entry'!O14</f>
        <v>Thursday</v>
      </c>
      <c r="E56" s="140">
        <f t="shared" si="20"/>
        <v>20</v>
      </c>
      <c r="F56" s="141">
        <f t="shared" si="21"/>
        <v>20</v>
      </c>
      <c r="G56" s="140">
        <f>'Food-Data Entry'!AE14</f>
        <v>0</v>
      </c>
      <c r="H56" s="141">
        <f>'Food-Data Entry'!AG14</f>
        <v>0</v>
      </c>
      <c r="I56" s="140">
        <f>'Food-Data Entry'!AI14</f>
        <v>0</v>
      </c>
      <c r="J56" s="141">
        <f>'Food-Data Entry'!AK14</f>
        <v>0</v>
      </c>
      <c r="K56" s="221">
        <f t="shared" si="12"/>
        <v>20</v>
      </c>
      <c r="L56" s="222">
        <f t="shared" si="13"/>
        <v>20</v>
      </c>
      <c r="M56" s="140">
        <f>'Food-Data Entry'!AY14</f>
        <v>0</v>
      </c>
      <c r="N56" s="141">
        <f>'Food-Data Entry'!AZ14</f>
        <v>0</v>
      </c>
      <c r="O56" s="221">
        <f t="shared" si="14"/>
        <v>20</v>
      </c>
      <c r="P56" s="227">
        <f t="shared" si="15"/>
        <v>20</v>
      </c>
      <c r="Q56" s="234">
        <f>'Food-Data Entry'!U14</f>
        <v>30</v>
      </c>
      <c r="R56" s="235">
        <f>'Food-Data Entry'!V14</f>
        <v>43</v>
      </c>
      <c r="S56" s="238">
        <f t="shared" si="16"/>
        <v>73</v>
      </c>
      <c r="T56" s="234">
        <f>'Food-Data Entry'!AA14</f>
        <v>0</v>
      </c>
      <c r="U56" s="235">
        <f>'Food-Data Entry'!AB14</f>
        <v>0</v>
      </c>
      <c r="V56" s="238">
        <f t="shared" si="17"/>
        <v>0</v>
      </c>
      <c r="W56" s="234">
        <f>'Food-Data Entry'!AA14</f>
        <v>0</v>
      </c>
      <c r="X56" s="235">
        <f>'Food-Data Entry'!AB14</f>
        <v>0</v>
      </c>
      <c r="Y56" s="238">
        <f t="shared" si="18"/>
        <v>0</v>
      </c>
      <c r="Z56" s="120"/>
      <c r="AA56" s="996"/>
      <c r="AB56" s="90" t="e">
        <f>#REF!+#REF!+#REF!+#REF!</f>
        <v>#REF!</v>
      </c>
    </row>
    <row r="57" spans="1:28" s="91" customFormat="1" ht="17.25" customHeight="1">
      <c r="A57" s="997"/>
      <c r="B57" s="116">
        <f t="shared" si="19"/>
        <v>9</v>
      </c>
      <c r="C57" s="117">
        <f>'Food-Data Entry'!L15</f>
        <v>44904</v>
      </c>
      <c r="D57" s="118" t="str">
        <f>'Food-Data Entry'!O15</f>
        <v>Friday</v>
      </c>
      <c r="E57" s="140">
        <f t="shared" si="20"/>
        <v>20</v>
      </c>
      <c r="F57" s="141">
        <f t="shared" si="21"/>
        <v>20</v>
      </c>
      <c r="G57" s="140">
        <f>'Food-Data Entry'!AE15</f>
        <v>0</v>
      </c>
      <c r="H57" s="141">
        <f>'Food-Data Entry'!AG15</f>
        <v>0</v>
      </c>
      <c r="I57" s="140">
        <f>'Food-Data Entry'!AI15</f>
        <v>0</v>
      </c>
      <c r="J57" s="141">
        <f>'Food-Data Entry'!AK15</f>
        <v>0</v>
      </c>
      <c r="K57" s="221">
        <f t="shared" si="12"/>
        <v>20</v>
      </c>
      <c r="L57" s="222">
        <f t="shared" si="13"/>
        <v>20</v>
      </c>
      <c r="M57" s="140">
        <f>'Food-Data Entry'!AY15</f>
        <v>0</v>
      </c>
      <c r="N57" s="141">
        <f>'Food-Data Entry'!AZ15</f>
        <v>0</v>
      </c>
      <c r="O57" s="221">
        <f t="shared" si="14"/>
        <v>20</v>
      </c>
      <c r="P57" s="227">
        <f t="shared" si="15"/>
        <v>20</v>
      </c>
      <c r="Q57" s="234">
        <f>'Food-Data Entry'!U15</f>
        <v>30</v>
      </c>
      <c r="R57" s="235">
        <f>'Food-Data Entry'!V15</f>
        <v>43</v>
      </c>
      <c r="S57" s="238">
        <f t="shared" si="16"/>
        <v>73</v>
      </c>
      <c r="T57" s="234">
        <f>'Food-Data Entry'!AA15</f>
        <v>0</v>
      </c>
      <c r="U57" s="235">
        <f>'Food-Data Entry'!AB15</f>
        <v>0</v>
      </c>
      <c r="V57" s="238">
        <f t="shared" si="17"/>
        <v>0</v>
      </c>
      <c r="W57" s="234">
        <f>'Food-Data Entry'!AA15</f>
        <v>0</v>
      </c>
      <c r="X57" s="235">
        <f>'Food-Data Entry'!AB15</f>
        <v>0</v>
      </c>
      <c r="Y57" s="238">
        <f t="shared" si="18"/>
        <v>0</v>
      </c>
      <c r="Z57" s="120"/>
      <c r="AA57" s="996"/>
      <c r="AB57" s="90" t="e">
        <f>#REF!+#REF!+#REF!+#REF!</f>
        <v>#REF!</v>
      </c>
    </row>
    <row r="58" spans="1:28" s="91" customFormat="1" ht="17.25" customHeight="1">
      <c r="A58" s="997"/>
      <c r="B58" s="116">
        <f t="shared" si="19"/>
        <v>10</v>
      </c>
      <c r="C58" s="117">
        <f>'Food-Data Entry'!L16</f>
        <v>44905</v>
      </c>
      <c r="D58" s="118" t="str">
        <f>'Food-Data Entry'!O16</f>
        <v>Saturday</v>
      </c>
      <c r="E58" s="140">
        <f t="shared" si="20"/>
        <v>20</v>
      </c>
      <c r="F58" s="141">
        <f t="shared" si="21"/>
        <v>20</v>
      </c>
      <c r="G58" s="140">
        <f>'Food-Data Entry'!AE16</f>
        <v>0</v>
      </c>
      <c r="H58" s="141">
        <f>'Food-Data Entry'!AG16</f>
        <v>0</v>
      </c>
      <c r="I58" s="140">
        <f>'Food-Data Entry'!AI16</f>
        <v>0</v>
      </c>
      <c r="J58" s="141">
        <f>'Food-Data Entry'!AK16</f>
        <v>0</v>
      </c>
      <c r="K58" s="221">
        <f t="shared" si="12"/>
        <v>20</v>
      </c>
      <c r="L58" s="222">
        <f t="shared" si="13"/>
        <v>20</v>
      </c>
      <c r="M58" s="140">
        <f>'Food-Data Entry'!AY16</f>
        <v>0</v>
      </c>
      <c r="N58" s="141">
        <f>'Food-Data Entry'!AZ16</f>
        <v>0</v>
      </c>
      <c r="O58" s="221">
        <f t="shared" si="14"/>
        <v>20</v>
      </c>
      <c r="P58" s="227">
        <f t="shared" si="15"/>
        <v>20</v>
      </c>
      <c r="Q58" s="234">
        <f>'Food-Data Entry'!U16</f>
        <v>30</v>
      </c>
      <c r="R58" s="235">
        <f>'Food-Data Entry'!V16</f>
        <v>43</v>
      </c>
      <c r="S58" s="238">
        <f t="shared" si="16"/>
        <v>73</v>
      </c>
      <c r="T58" s="234">
        <f>'Food-Data Entry'!AA16</f>
        <v>0</v>
      </c>
      <c r="U58" s="235">
        <f>'Food-Data Entry'!AB16</f>
        <v>0</v>
      </c>
      <c r="V58" s="238">
        <f t="shared" si="17"/>
        <v>0</v>
      </c>
      <c r="W58" s="234">
        <f>'Food-Data Entry'!AA16</f>
        <v>0</v>
      </c>
      <c r="X58" s="235">
        <f>'Food-Data Entry'!AB16</f>
        <v>0</v>
      </c>
      <c r="Y58" s="238">
        <f t="shared" si="18"/>
        <v>0</v>
      </c>
      <c r="Z58" s="120"/>
      <c r="AA58" s="996"/>
      <c r="AB58" s="90" t="e">
        <f>#REF!+#REF!+#REF!+#REF!</f>
        <v>#REF!</v>
      </c>
    </row>
    <row r="59" spans="1:28" s="91" customFormat="1" ht="17.25" customHeight="1">
      <c r="A59" s="997"/>
      <c r="B59" s="116">
        <f t="shared" si="19"/>
        <v>11</v>
      </c>
      <c r="C59" s="117">
        <f>'Food-Data Entry'!L17</f>
        <v>44906</v>
      </c>
      <c r="D59" s="118" t="str">
        <f>'Food-Data Entry'!O17</f>
        <v>Holiday</v>
      </c>
      <c r="E59" s="140">
        <f t="shared" si="20"/>
        <v>20</v>
      </c>
      <c r="F59" s="141">
        <f t="shared" si="21"/>
        <v>20</v>
      </c>
      <c r="G59" s="140">
        <f>'Food-Data Entry'!AE17</f>
        <v>0</v>
      </c>
      <c r="H59" s="141">
        <f>'Food-Data Entry'!AG17</f>
        <v>0</v>
      </c>
      <c r="I59" s="140">
        <f>'Food-Data Entry'!AI17</f>
        <v>0</v>
      </c>
      <c r="J59" s="141">
        <f>'Food-Data Entry'!AK17</f>
        <v>0</v>
      </c>
      <c r="K59" s="221">
        <f t="shared" si="12"/>
        <v>20</v>
      </c>
      <c r="L59" s="222">
        <f t="shared" si="13"/>
        <v>20</v>
      </c>
      <c r="M59" s="140">
        <f>'Food-Data Entry'!AY17</f>
        <v>0</v>
      </c>
      <c r="N59" s="141">
        <f>'Food-Data Entry'!AZ17</f>
        <v>0</v>
      </c>
      <c r="O59" s="221">
        <f t="shared" si="14"/>
        <v>20</v>
      </c>
      <c r="P59" s="227">
        <f t="shared" si="15"/>
        <v>20</v>
      </c>
      <c r="Q59" s="234">
        <f>'Food-Data Entry'!U17</f>
        <v>30</v>
      </c>
      <c r="R59" s="235">
        <f>'Food-Data Entry'!V17</f>
        <v>43</v>
      </c>
      <c r="S59" s="238">
        <f t="shared" si="16"/>
        <v>73</v>
      </c>
      <c r="T59" s="234">
        <f>'Food-Data Entry'!AA17</f>
        <v>0</v>
      </c>
      <c r="U59" s="235">
        <f>'Food-Data Entry'!AB17</f>
        <v>0</v>
      </c>
      <c r="V59" s="238">
        <f t="shared" si="17"/>
        <v>0</v>
      </c>
      <c r="W59" s="234">
        <f>'Food-Data Entry'!AA17</f>
        <v>0</v>
      </c>
      <c r="X59" s="235">
        <f>'Food-Data Entry'!AB17</f>
        <v>0</v>
      </c>
      <c r="Y59" s="238">
        <f t="shared" si="18"/>
        <v>0</v>
      </c>
      <c r="Z59" s="120"/>
      <c r="AA59" s="996"/>
      <c r="AB59" s="90" t="e">
        <f>#REF!+#REF!+#REF!+#REF!</f>
        <v>#REF!</v>
      </c>
    </row>
    <row r="60" spans="1:28" s="91" customFormat="1" ht="17.25" customHeight="1">
      <c r="A60" s="997"/>
      <c r="B60" s="116">
        <f t="shared" si="19"/>
        <v>12</v>
      </c>
      <c r="C60" s="117">
        <f>'Food-Data Entry'!L18</f>
        <v>44907</v>
      </c>
      <c r="D60" s="118" t="str">
        <f>'Food-Data Entry'!O18</f>
        <v>Monday</v>
      </c>
      <c r="E60" s="140">
        <f t="shared" si="20"/>
        <v>20</v>
      </c>
      <c r="F60" s="141">
        <f t="shared" si="21"/>
        <v>20</v>
      </c>
      <c r="G60" s="140">
        <f>'Food-Data Entry'!AE18</f>
        <v>0</v>
      </c>
      <c r="H60" s="141">
        <f>'Food-Data Entry'!AG18</f>
        <v>0</v>
      </c>
      <c r="I60" s="140">
        <f>'Food-Data Entry'!AI18</f>
        <v>0</v>
      </c>
      <c r="J60" s="141">
        <f>'Food-Data Entry'!AK18</f>
        <v>0</v>
      </c>
      <c r="K60" s="221">
        <f t="shared" si="12"/>
        <v>20</v>
      </c>
      <c r="L60" s="222">
        <f t="shared" si="13"/>
        <v>20</v>
      </c>
      <c r="M60" s="140">
        <f>'Food-Data Entry'!AY18</f>
        <v>0</v>
      </c>
      <c r="N60" s="141">
        <f>'Food-Data Entry'!AZ18</f>
        <v>0</v>
      </c>
      <c r="O60" s="221">
        <f t="shared" si="14"/>
        <v>20</v>
      </c>
      <c r="P60" s="227">
        <f t="shared" si="15"/>
        <v>20</v>
      </c>
      <c r="Q60" s="234">
        <f>'Food-Data Entry'!U18</f>
        <v>30</v>
      </c>
      <c r="R60" s="235">
        <f>'Food-Data Entry'!V18</f>
        <v>43</v>
      </c>
      <c r="S60" s="238">
        <f t="shared" si="16"/>
        <v>73</v>
      </c>
      <c r="T60" s="234">
        <f>'Food-Data Entry'!AA18</f>
        <v>0</v>
      </c>
      <c r="U60" s="235">
        <f>'Food-Data Entry'!AB18</f>
        <v>0</v>
      </c>
      <c r="V60" s="238">
        <f t="shared" si="17"/>
        <v>0</v>
      </c>
      <c r="W60" s="234">
        <f>'Food-Data Entry'!AA18</f>
        <v>0</v>
      </c>
      <c r="X60" s="235">
        <f>'Food-Data Entry'!AB18</f>
        <v>0</v>
      </c>
      <c r="Y60" s="238">
        <f t="shared" si="18"/>
        <v>0</v>
      </c>
      <c r="Z60" s="120"/>
      <c r="AA60" s="996"/>
      <c r="AB60" s="90" t="e">
        <f>#REF!+#REF!+#REF!+#REF!</f>
        <v>#REF!</v>
      </c>
    </row>
    <row r="61" spans="1:28" s="91" customFormat="1" ht="17.25" customHeight="1">
      <c r="A61" s="997"/>
      <c r="B61" s="116">
        <f t="shared" si="19"/>
        <v>13</v>
      </c>
      <c r="C61" s="117">
        <f>'Food-Data Entry'!L19</f>
        <v>44908</v>
      </c>
      <c r="D61" s="118" t="str">
        <f>'Food-Data Entry'!O19</f>
        <v>Tuesday</v>
      </c>
      <c r="E61" s="140">
        <f t="shared" si="20"/>
        <v>20</v>
      </c>
      <c r="F61" s="141">
        <f t="shared" si="21"/>
        <v>20</v>
      </c>
      <c r="G61" s="140">
        <f>'Food-Data Entry'!AE19</f>
        <v>0</v>
      </c>
      <c r="H61" s="141">
        <f>'Food-Data Entry'!AG19</f>
        <v>0</v>
      </c>
      <c r="I61" s="140">
        <f>'Food-Data Entry'!AI19</f>
        <v>0</v>
      </c>
      <c r="J61" s="141">
        <f>'Food-Data Entry'!AK19</f>
        <v>0</v>
      </c>
      <c r="K61" s="221">
        <f t="shared" si="12"/>
        <v>20</v>
      </c>
      <c r="L61" s="222">
        <f t="shared" si="13"/>
        <v>20</v>
      </c>
      <c r="M61" s="140">
        <f>'Food-Data Entry'!AY19</f>
        <v>0</v>
      </c>
      <c r="N61" s="141">
        <f>'Food-Data Entry'!AZ19</f>
        <v>0</v>
      </c>
      <c r="O61" s="221">
        <f t="shared" si="14"/>
        <v>20</v>
      </c>
      <c r="P61" s="227">
        <f t="shared" si="15"/>
        <v>20</v>
      </c>
      <c r="Q61" s="234">
        <f>'Food-Data Entry'!U19</f>
        <v>30</v>
      </c>
      <c r="R61" s="235">
        <f>'Food-Data Entry'!V19</f>
        <v>43</v>
      </c>
      <c r="S61" s="238">
        <f t="shared" si="16"/>
        <v>73</v>
      </c>
      <c r="T61" s="234">
        <f>'Food-Data Entry'!AA19</f>
        <v>0</v>
      </c>
      <c r="U61" s="235">
        <f>'Food-Data Entry'!AB19</f>
        <v>0</v>
      </c>
      <c r="V61" s="238">
        <f t="shared" si="17"/>
        <v>0</v>
      </c>
      <c r="W61" s="234">
        <f>'Food-Data Entry'!AA19</f>
        <v>0</v>
      </c>
      <c r="X61" s="235">
        <f>'Food-Data Entry'!AB19</f>
        <v>0</v>
      </c>
      <c r="Y61" s="238">
        <f t="shared" si="18"/>
        <v>0</v>
      </c>
      <c r="Z61" s="120"/>
      <c r="AA61" s="996"/>
      <c r="AB61" s="90" t="e">
        <f>#REF!+#REF!+#REF!+#REF!</f>
        <v>#REF!</v>
      </c>
    </row>
    <row r="62" spans="1:28" s="91" customFormat="1" ht="17.25" customHeight="1">
      <c r="A62" s="997"/>
      <c r="B62" s="116">
        <f t="shared" si="19"/>
        <v>14</v>
      </c>
      <c r="C62" s="117">
        <f>'Food-Data Entry'!L20</f>
        <v>44909</v>
      </c>
      <c r="D62" s="118" t="str">
        <f>'Food-Data Entry'!O20</f>
        <v>Wednesday</v>
      </c>
      <c r="E62" s="140">
        <f t="shared" si="20"/>
        <v>20</v>
      </c>
      <c r="F62" s="141">
        <f t="shared" si="21"/>
        <v>20</v>
      </c>
      <c r="G62" s="140">
        <f>'Food-Data Entry'!AE20</f>
        <v>0</v>
      </c>
      <c r="H62" s="141">
        <f>'Food-Data Entry'!AG20</f>
        <v>0</v>
      </c>
      <c r="I62" s="140">
        <f>'Food-Data Entry'!AI20</f>
        <v>0</v>
      </c>
      <c r="J62" s="141">
        <f>'Food-Data Entry'!AK20</f>
        <v>0</v>
      </c>
      <c r="K62" s="221">
        <f t="shared" si="12"/>
        <v>20</v>
      </c>
      <c r="L62" s="222">
        <f t="shared" si="13"/>
        <v>20</v>
      </c>
      <c r="M62" s="140">
        <f>'Food-Data Entry'!AY20</f>
        <v>0</v>
      </c>
      <c r="N62" s="141">
        <f>'Food-Data Entry'!AZ20</f>
        <v>0</v>
      </c>
      <c r="O62" s="221">
        <f t="shared" si="14"/>
        <v>20</v>
      </c>
      <c r="P62" s="227">
        <f t="shared" si="15"/>
        <v>20</v>
      </c>
      <c r="Q62" s="234">
        <f>'Food-Data Entry'!U20</f>
        <v>30</v>
      </c>
      <c r="R62" s="235">
        <f>'Food-Data Entry'!V20</f>
        <v>43</v>
      </c>
      <c r="S62" s="238">
        <f t="shared" si="16"/>
        <v>73</v>
      </c>
      <c r="T62" s="234">
        <f>'Food-Data Entry'!AA20</f>
        <v>0</v>
      </c>
      <c r="U62" s="235">
        <f>'Food-Data Entry'!AB20</f>
        <v>0</v>
      </c>
      <c r="V62" s="238">
        <f t="shared" si="17"/>
        <v>0</v>
      </c>
      <c r="W62" s="234">
        <f>'Food-Data Entry'!AA20</f>
        <v>0</v>
      </c>
      <c r="X62" s="235">
        <f>'Food-Data Entry'!AB20</f>
        <v>0</v>
      </c>
      <c r="Y62" s="238">
        <f t="shared" si="18"/>
        <v>0</v>
      </c>
      <c r="Z62" s="120"/>
      <c r="AA62" s="996"/>
      <c r="AB62" s="90" t="e">
        <f>#REF!+#REF!+#REF!+#REF!</f>
        <v>#REF!</v>
      </c>
    </row>
    <row r="63" spans="1:28" s="91" customFormat="1" ht="17.25" customHeight="1">
      <c r="A63" s="997"/>
      <c r="B63" s="116">
        <f t="shared" si="19"/>
        <v>15</v>
      </c>
      <c r="C63" s="117">
        <f>'Food-Data Entry'!L21</f>
        <v>44910</v>
      </c>
      <c r="D63" s="118" t="str">
        <f>'Food-Data Entry'!O21</f>
        <v>Thursday</v>
      </c>
      <c r="E63" s="140">
        <f t="shared" si="20"/>
        <v>20</v>
      </c>
      <c r="F63" s="141">
        <f t="shared" si="21"/>
        <v>20</v>
      </c>
      <c r="G63" s="140">
        <f>'Food-Data Entry'!AE21</f>
        <v>0</v>
      </c>
      <c r="H63" s="141">
        <f>'Food-Data Entry'!AG21</f>
        <v>0</v>
      </c>
      <c r="I63" s="140">
        <f>'Food-Data Entry'!AI21</f>
        <v>0</v>
      </c>
      <c r="J63" s="141">
        <f>'Food-Data Entry'!AK21</f>
        <v>0</v>
      </c>
      <c r="K63" s="221">
        <f t="shared" si="12"/>
        <v>20</v>
      </c>
      <c r="L63" s="222">
        <f t="shared" si="13"/>
        <v>20</v>
      </c>
      <c r="M63" s="140">
        <f>'Food-Data Entry'!AY21</f>
        <v>0</v>
      </c>
      <c r="N63" s="141">
        <f>'Food-Data Entry'!AZ21</f>
        <v>0</v>
      </c>
      <c r="O63" s="221">
        <f t="shared" si="14"/>
        <v>20</v>
      </c>
      <c r="P63" s="227">
        <f t="shared" si="15"/>
        <v>20</v>
      </c>
      <c r="Q63" s="234">
        <f>'Food-Data Entry'!U21</f>
        <v>30</v>
      </c>
      <c r="R63" s="235">
        <f>'Food-Data Entry'!V21</f>
        <v>43</v>
      </c>
      <c r="S63" s="238">
        <f t="shared" si="16"/>
        <v>73</v>
      </c>
      <c r="T63" s="234">
        <f>'Food-Data Entry'!AA21</f>
        <v>0</v>
      </c>
      <c r="U63" s="235">
        <f>'Food-Data Entry'!AB21</f>
        <v>0</v>
      </c>
      <c r="V63" s="238">
        <f t="shared" si="17"/>
        <v>0</v>
      </c>
      <c r="W63" s="234">
        <f>'Food-Data Entry'!AA21</f>
        <v>0</v>
      </c>
      <c r="X63" s="235">
        <f>'Food-Data Entry'!AB21</f>
        <v>0</v>
      </c>
      <c r="Y63" s="238">
        <f t="shared" si="18"/>
        <v>0</v>
      </c>
      <c r="Z63" s="120"/>
      <c r="AA63" s="996"/>
      <c r="AB63" s="90" t="e">
        <f>#REF!+#REF!+#REF!+#REF!</f>
        <v>#REF!</v>
      </c>
    </row>
    <row r="64" spans="1:28" s="91" customFormat="1" ht="17.25" customHeight="1">
      <c r="A64" s="997"/>
      <c r="B64" s="116">
        <f t="shared" si="19"/>
        <v>16</v>
      </c>
      <c r="C64" s="117">
        <f>'Food-Data Entry'!L22</f>
        <v>44911</v>
      </c>
      <c r="D64" s="118" t="str">
        <f>'Food-Data Entry'!O22</f>
        <v>Friday</v>
      </c>
      <c r="E64" s="140">
        <f t="shared" si="20"/>
        <v>20</v>
      </c>
      <c r="F64" s="141">
        <f t="shared" si="21"/>
        <v>20</v>
      </c>
      <c r="G64" s="140">
        <f>'Food-Data Entry'!AE22</f>
        <v>0</v>
      </c>
      <c r="H64" s="141">
        <f>'Food-Data Entry'!AG22</f>
        <v>0</v>
      </c>
      <c r="I64" s="140">
        <f>'Food-Data Entry'!AI22</f>
        <v>0</v>
      </c>
      <c r="J64" s="141">
        <f>'Food-Data Entry'!AK22</f>
        <v>0</v>
      </c>
      <c r="K64" s="221">
        <f t="shared" si="12"/>
        <v>20</v>
      </c>
      <c r="L64" s="222">
        <f t="shared" si="13"/>
        <v>20</v>
      </c>
      <c r="M64" s="140">
        <f>'Food-Data Entry'!AY22</f>
        <v>0</v>
      </c>
      <c r="N64" s="141">
        <f>'Food-Data Entry'!AZ22</f>
        <v>0</v>
      </c>
      <c r="O64" s="221">
        <f t="shared" si="14"/>
        <v>20</v>
      </c>
      <c r="P64" s="227">
        <f t="shared" si="15"/>
        <v>20</v>
      </c>
      <c r="Q64" s="234">
        <f>'Food-Data Entry'!U22</f>
        <v>30</v>
      </c>
      <c r="R64" s="235">
        <f>'Food-Data Entry'!V22</f>
        <v>43</v>
      </c>
      <c r="S64" s="238">
        <f t="shared" si="16"/>
        <v>73</v>
      </c>
      <c r="T64" s="234">
        <f>'Food-Data Entry'!AA22</f>
        <v>0</v>
      </c>
      <c r="U64" s="235">
        <f>'Food-Data Entry'!AB22</f>
        <v>0</v>
      </c>
      <c r="V64" s="238">
        <f t="shared" si="17"/>
        <v>0</v>
      </c>
      <c r="W64" s="234">
        <f>'Food-Data Entry'!AA22</f>
        <v>0</v>
      </c>
      <c r="X64" s="235">
        <f>'Food-Data Entry'!AB22</f>
        <v>0</v>
      </c>
      <c r="Y64" s="238">
        <f t="shared" si="18"/>
        <v>0</v>
      </c>
      <c r="Z64" s="120"/>
      <c r="AA64" s="996"/>
      <c r="AB64" s="90" t="e">
        <f>#REF!+#REF!+#REF!+#REF!</f>
        <v>#REF!</v>
      </c>
    </row>
    <row r="65" spans="1:28" s="91" customFormat="1" ht="17.25" customHeight="1">
      <c r="A65" s="997"/>
      <c r="B65" s="116">
        <f t="shared" si="19"/>
        <v>17</v>
      </c>
      <c r="C65" s="117">
        <f>'Food-Data Entry'!L23</f>
        <v>44912</v>
      </c>
      <c r="D65" s="118" t="str">
        <f>'Food-Data Entry'!O23</f>
        <v>Saturday</v>
      </c>
      <c r="E65" s="140">
        <f t="shared" si="20"/>
        <v>20</v>
      </c>
      <c r="F65" s="141">
        <f t="shared" si="21"/>
        <v>20</v>
      </c>
      <c r="G65" s="140">
        <f>'Food-Data Entry'!AE23</f>
        <v>0</v>
      </c>
      <c r="H65" s="141">
        <f>'Food-Data Entry'!AG23</f>
        <v>0</v>
      </c>
      <c r="I65" s="140">
        <f>'Food-Data Entry'!AI23</f>
        <v>0</v>
      </c>
      <c r="J65" s="141">
        <f>'Food-Data Entry'!AK23</f>
        <v>0</v>
      </c>
      <c r="K65" s="221">
        <f t="shared" si="12"/>
        <v>20</v>
      </c>
      <c r="L65" s="222">
        <f t="shared" si="13"/>
        <v>20</v>
      </c>
      <c r="M65" s="140">
        <f>'Food-Data Entry'!AY23</f>
        <v>0</v>
      </c>
      <c r="N65" s="141">
        <f>'Food-Data Entry'!AZ23</f>
        <v>0</v>
      </c>
      <c r="O65" s="221">
        <f t="shared" si="14"/>
        <v>20</v>
      </c>
      <c r="P65" s="227">
        <f t="shared" si="15"/>
        <v>20</v>
      </c>
      <c r="Q65" s="234">
        <f>'Food-Data Entry'!U23</f>
        <v>30</v>
      </c>
      <c r="R65" s="235">
        <f>'Food-Data Entry'!V23</f>
        <v>43</v>
      </c>
      <c r="S65" s="238">
        <f t="shared" si="16"/>
        <v>73</v>
      </c>
      <c r="T65" s="234">
        <f>'Food-Data Entry'!AA23</f>
        <v>0</v>
      </c>
      <c r="U65" s="235">
        <f>'Food-Data Entry'!AB23</f>
        <v>0</v>
      </c>
      <c r="V65" s="238">
        <f t="shared" si="17"/>
        <v>0</v>
      </c>
      <c r="W65" s="234">
        <f>'Food-Data Entry'!AA23</f>
        <v>0</v>
      </c>
      <c r="X65" s="235">
        <f>'Food-Data Entry'!AB23</f>
        <v>0</v>
      </c>
      <c r="Y65" s="238">
        <f t="shared" si="18"/>
        <v>0</v>
      </c>
      <c r="Z65" s="120"/>
      <c r="AA65" s="996"/>
      <c r="AB65" s="90" t="e">
        <f>#REF!+#REF!+#REF!+#REF!</f>
        <v>#REF!</v>
      </c>
    </row>
    <row r="66" spans="1:28" s="91" customFormat="1" ht="17.25" customHeight="1">
      <c r="A66" s="997"/>
      <c r="B66" s="116">
        <f t="shared" si="19"/>
        <v>18</v>
      </c>
      <c r="C66" s="117">
        <f>'Food-Data Entry'!L24</f>
        <v>44913</v>
      </c>
      <c r="D66" s="118" t="str">
        <f>'Food-Data Entry'!O24</f>
        <v>Holiday</v>
      </c>
      <c r="E66" s="140">
        <f t="shared" si="20"/>
        <v>20</v>
      </c>
      <c r="F66" s="141">
        <f t="shared" si="21"/>
        <v>20</v>
      </c>
      <c r="G66" s="140">
        <f>'Food-Data Entry'!AE24</f>
        <v>0</v>
      </c>
      <c r="H66" s="141">
        <f>'Food-Data Entry'!AG24</f>
        <v>0</v>
      </c>
      <c r="I66" s="140">
        <f>'Food-Data Entry'!AI24</f>
        <v>0</v>
      </c>
      <c r="J66" s="141">
        <f>'Food-Data Entry'!AK24</f>
        <v>0</v>
      </c>
      <c r="K66" s="221">
        <f t="shared" si="12"/>
        <v>20</v>
      </c>
      <c r="L66" s="222">
        <f t="shared" si="13"/>
        <v>20</v>
      </c>
      <c r="M66" s="140">
        <f>'Food-Data Entry'!AY24</f>
        <v>0</v>
      </c>
      <c r="N66" s="141">
        <f>'Food-Data Entry'!AZ24</f>
        <v>0</v>
      </c>
      <c r="O66" s="221">
        <f t="shared" si="14"/>
        <v>20</v>
      </c>
      <c r="P66" s="227">
        <f t="shared" si="15"/>
        <v>20</v>
      </c>
      <c r="Q66" s="234">
        <f>'Food-Data Entry'!U24</f>
        <v>30</v>
      </c>
      <c r="R66" s="235">
        <f>'Food-Data Entry'!V24</f>
        <v>43</v>
      </c>
      <c r="S66" s="238">
        <f t="shared" si="16"/>
        <v>73</v>
      </c>
      <c r="T66" s="234">
        <f>'Food-Data Entry'!AA24</f>
        <v>0</v>
      </c>
      <c r="U66" s="235">
        <f>'Food-Data Entry'!AB24</f>
        <v>0</v>
      </c>
      <c r="V66" s="238">
        <f t="shared" si="17"/>
        <v>0</v>
      </c>
      <c r="W66" s="234">
        <f>'Food-Data Entry'!AA24</f>
        <v>0</v>
      </c>
      <c r="X66" s="235">
        <f>'Food-Data Entry'!AB24</f>
        <v>0</v>
      </c>
      <c r="Y66" s="238">
        <f t="shared" si="18"/>
        <v>0</v>
      </c>
      <c r="Z66" s="120"/>
      <c r="AA66" s="996"/>
      <c r="AB66" s="90" t="e">
        <f>#REF!+#REF!+#REF!+#REF!</f>
        <v>#REF!</v>
      </c>
    </row>
    <row r="67" spans="1:28" s="91" customFormat="1" ht="17.25" customHeight="1">
      <c r="A67" s="997"/>
      <c r="B67" s="116">
        <f t="shared" si="19"/>
        <v>19</v>
      </c>
      <c r="C67" s="117">
        <f>'Food-Data Entry'!L25</f>
        <v>44914</v>
      </c>
      <c r="D67" s="118" t="str">
        <f>'Food-Data Entry'!O25</f>
        <v>Monday</v>
      </c>
      <c r="E67" s="140">
        <f t="shared" si="20"/>
        <v>20</v>
      </c>
      <c r="F67" s="141">
        <f t="shared" si="21"/>
        <v>20</v>
      </c>
      <c r="G67" s="140">
        <f>'Food-Data Entry'!AE25</f>
        <v>0</v>
      </c>
      <c r="H67" s="141">
        <f>'Food-Data Entry'!AG25</f>
        <v>0</v>
      </c>
      <c r="I67" s="140">
        <f>'Food-Data Entry'!AI25</f>
        <v>0</v>
      </c>
      <c r="J67" s="141">
        <f>'Food-Data Entry'!AK25</f>
        <v>0</v>
      </c>
      <c r="K67" s="221">
        <f t="shared" si="12"/>
        <v>20</v>
      </c>
      <c r="L67" s="222">
        <f t="shared" si="13"/>
        <v>20</v>
      </c>
      <c r="M67" s="140">
        <f>'Food-Data Entry'!AY25</f>
        <v>0</v>
      </c>
      <c r="N67" s="141">
        <f>'Food-Data Entry'!AZ25</f>
        <v>0</v>
      </c>
      <c r="O67" s="221">
        <f t="shared" si="14"/>
        <v>20</v>
      </c>
      <c r="P67" s="227">
        <f t="shared" si="15"/>
        <v>20</v>
      </c>
      <c r="Q67" s="234">
        <f>'Food-Data Entry'!U25</f>
        <v>30</v>
      </c>
      <c r="R67" s="235">
        <f>'Food-Data Entry'!V25</f>
        <v>43</v>
      </c>
      <c r="S67" s="238">
        <f t="shared" si="16"/>
        <v>73</v>
      </c>
      <c r="T67" s="234">
        <f>'Food-Data Entry'!AA25</f>
        <v>0</v>
      </c>
      <c r="U67" s="235">
        <f>'Food-Data Entry'!AB25</f>
        <v>0</v>
      </c>
      <c r="V67" s="238">
        <f t="shared" si="17"/>
        <v>0</v>
      </c>
      <c r="W67" s="234">
        <f>'Food-Data Entry'!AA25</f>
        <v>0</v>
      </c>
      <c r="X67" s="235">
        <f>'Food-Data Entry'!AB25</f>
        <v>0</v>
      </c>
      <c r="Y67" s="238">
        <f t="shared" si="18"/>
        <v>0</v>
      </c>
      <c r="Z67" s="120"/>
      <c r="AA67" s="996"/>
      <c r="AB67" s="90" t="e">
        <f>#REF!+#REF!+#REF!+#REF!</f>
        <v>#REF!</v>
      </c>
    </row>
    <row r="68" spans="1:28" s="91" customFormat="1" ht="17.25" customHeight="1">
      <c r="A68" s="997"/>
      <c r="B68" s="116">
        <f t="shared" si="19"/>
        <v>20</v>
      </c>
      <c r="C68" s="117">
        <f>'Food-Data Entry'!L26</f>
        <v>44915</v>
      </c>
      <c r="D68" s="118" t="str">
        <f>'Food-Data Entry'!O26</f>
        <v>Tuesday</v>
      </c>
      <c r="E68" s="140">
        <f t="shared" si="20"/>
        <v>20</v>
      </c>
      <c r="F68" s="141">
        <f t="shared" si="21"/>
        <v>20</v>
      </c>
      <c r="G68" s="140">
        <f>'Food-Data Entry'!AE26</f>
        <v>0</v>
      </c>
      <c r="H68" s="141">
        <f>'Food-Data Entry'!AG26</f>
        <v>0</v>
      </c>
      <c r="I68" s="140">
        <f>'Food-Data Entry'!AI26</f>
        <v>0</v>
      </c>
      <c r="J68" s="141">
        <f>'Food-Data Entry'!AK26</f>
        <v>0</v>
      </c>
      <c r="K68" s="221">
        <f t="shared" si="12"/>
        <v>20</v>
      </c>
      <c r="L68" s="222">
        <f t="shared" si="13"/>
        <v>20</v>
      </c>
      <c r="M68" s="140">
        <f>'Food-Data Entry'!AY26</f>
        <v>0</v>
      </c>
      <c r="N68" s="141">
        <f>'Food-Data Entry'!AZ26</f>
        <v>0</v>
      </c>
      <c r="O68" s="221">
        <f t="shared" si="14"/>
        <v>20</v>
      </c>
      <c r="P68" s="227">
        <f t="shared" si="15"/>
        <v>20</v>
      </c>
      <c r="Q68" s="234">
        <f>'Food-Data Entry'!U26</f>
        <v>30</v>
      </c>
      <c r="R68" s="235">
        <f>'Food-Data Entry'!V26</f>
        <v>43</v>
      </c>
      <c r="S68" s="238">
        <f t="shared" si="16"/>
        <v>73</v>
      </c>
      <c r="T68" s="234">
        <f>'Food-Data Entry'!AA26</f>
        <v>0</v>
      </c>
      <c r="U68" s="235">
        <f>'Food-Data Entry'!AB26</f>
        <v>0</v>
      </c>
      <c r="V68" s="238">
        <f t="shared" si="17"/>
        <v>0</v>
      </c>
      <c r="W68" s="234">
        <f>'Food-Data Entry'!AA26</f>
        <v>0</v>
      </c>
      <c r="X68" s="235">
        <f>'Food-Data Entry'!AB26</f>
        <v>0</v>
      </c>
      <c r="Y68" s="238">
        <f t="shared" si="18"/>
        <v>0</v>
      </c>
      <c r="Z68" s="120"/>
      <c r="AA68" s="996"/>
      <c r="AB68" s="90" t="e">
        <f>#REF!+#REF!+#REF!+#REF!</f>
        <v>#REF!</v>
      </c>
    </row>
    <row r="69" spans="1:28" s="91" customFormat="1" ht="17.25" customHeight="1">
      <c r="A69" s="997"/>
      <c r="B69" s="116">
        <f t="shared" si="19"/>
        <v>21</v>
      </c>
      <c r="C69" s="121">
        <f>'Food-Data Entry'!L27</f>
        <v>44916</v>
      </c>
      <c r="D69" s="122" t="str">
        <f>'Food-Data Entry'!O27</f>
        <v>Wednesday</v>
      </c>
      <c r="E69" s="140">
        <f t="shared" si="20"/>
        <v>20</v>
      </c>
      <c r="F69" s="141">
        <f t="shared" si="21"/>
        <v>20</v>
      </c>
      <c r="G69" s="140">
        <f>'Food-Data Entry'!AE27</f>
        <v>0</v>
      </c>
      <c r="H69" s="141">
        <f>'Food-Data Entry'!AG27</f>
        <v>0</v>
      </c>
      <c r="I69" s="140">
        <f>'Food-Data Entry'!AI27</f>
        <v>0</v>
      </c>
      <c r="J69" s="141">
        <f>'Food-Data Entry'!AK27</f>
        <v>0</v>
      </c>
      <c r="K69" s="221">
        <f t="shared" si="12"/>
        <v>20</v>
      </c>
      <c r="L69" s="222">
        <f t="shared" si="13"/>
        <v>20</v>
      </c>
      <c r="M69" s="140">
        <f>'Food-Data Entry'!AY27</f>
        <v>0</v>
      </c>
      <c r="N69" s="141">
        <f>'Food-Data Entry'!AZ27</f>
        <v>0</v>
      </c>
      <c r="O69" s="221">
        <f t="shared" si="14"/>
        <v>20</v>
      </c>
      <c r="P69" s="227">
        <f t="shared" si="15"/>
        <v>20</v>
      </c>
      <c r="Q69" s="234">
        <f>'Food-Data Entry'!U27</f>
        <v>30</v>
      </c>
      <c r="R69" s="235">
        <f>'Food-Data Entry'!V27</f>
        <v>43</v>
      </c>
      <c r="S69" s="238">
        <f t="shared" si="16"/>
        <v>73</v>
      </c>
      <c r="T69" s="234">
        <f>'Food-Data Entry'!AA27</f>
        <v>0</v>
      </c>
      <c r="U69" s="235">
        <f>'Food-Data Entry'!AB27</f>
        <v>0</v>
      </c>
      <c r="V69" s="238">
        <f t="shared" si="17"/>
        <v>0</v>
      </c>
      <c r="W69" s="234">
        <f>'Food-Data Entry'!AA27</f>
        <v>0</v>
      </c>
      <c r="X69" s="235">
        <f>'Food-Data Entry'!AB27</f>
        <v>0</v>
      </c>
      <c r="Y69" s="238">
        <f t="shared" si="18"/>
        <v>0</v>
      </c>
      <c r="Z69" s="123"/>
      <c r="AA69" s="996"/>
      <c r="AB69" s="90" t="e">
        <f>#REF!+#REF!+#REF!+#REF!</f>
        <v>#REF!</v>
      </c>
    </row>
    <row r="70" spans="1:28" s="91" customFormat="1" ht="17.25" customHeight="1">
      <c r="A70" s="997"/>
      <c r="B70" s="116">
        <f t="shared" si="19"/>
        <v>22</v>
      </c>
      <c r="C70" s="121">
        <f>'Food-Data Entry'!L28</f>
        <v>44917</v>
      </c>
      <c r="D70" s="122" t="str">
        <f>'Food-Data Entry'!O28</f>
        <v>Thursday</v>
      </c>
      <c r="E70" s="140">
        <f t="shared" si="20"/>
        <v>20</v>
      </c>
      <c r="F70" s="141">
        <f t="shared" si="21"/>
        <v>20</v>
      </c>
      <c r="G70" s="140">
        <f>'Food-Data Entry'!AE28</f>
        <v>0</v>
      </c>
      <c r="H70" s="141">
        <f>'Food-Data Entry'!AG28</f>
        <v>0</v>
      </c>
      <c r="I70" s="140">
        <f>'Food-Data Entry'!AI28</f>
        <v>0</v>
      </c>
      <c r="J70" s="141">
        <f>'Food-Data Entry'!AK28</f>
        <v>0</v>
      </c>
      <c r="K70" s="221">
        <f t="shared" si="12"/>
        <v>20</v>
      </c>
      <c r="L70" s="222">
        <f t="shared" si="13"/>
        <v>20</v>
      </c>
      <c r="M70" s="140">
        <f>'Food-Data Entry'!AY28</f>
        <v>0</v>
      </c>
      <c r="N70" s="141">
        <f>'Food-Data Entry'!AZ28</f>
        <v>0</v>
      </c>
      <c r="O70" s="221">
        <f t="shared" si="14"/>
        <v>20</v>
      </c>
      <c r="P70" s="227">
        <f t="shared" si="15"/>
        <v>20</v>
      </c>
      <c r="Q70" s="234">
        <f>'Food-Data Entry'!U28</f>
        <v>30</v>
      </c>
      <c r="R70" s="235">
        <f>'Food-Data Entry'!V28</f>
        <v>43</v>
      </c>
      <c r="S70" s="238">
        <f t="shared" si="16"/>
        <v>73</v>
      </c>
      <c r="T70" s="234">
        <f>'Food-Data Entry'!AA28</f>
        <v>0</v>
      </c>
      <c r="U70" s="235">
        <f>'Food-Data Entry'!AB28</f>
        <v>0</v>
      </c>
      <c r="V70" s="238">
        <f t="shared" si="17"/>
        <v>0</v>
      </c>
      <c r="W70" s="234">
        <f>'Food-Data Entry'!AA28</f>
        <v>0</v>
      </c>
      <c r="X70" s="235">
        <f>'Food-Data Entry'!AB28</f>
        <v>0</v>
      </c>
      <c r="Y70" s="238">
        <f t="shared" si="18"/>
        <v>0</v>
      </c>
      <c r="Z70" s="123"/>
      <c r="AA70" s="996"/>
      <c r="AB70" s="90" t="e">
        <f>#REF!+#REF!+#REF!+#REF!</f>
        <v>#REF!</v>
      </c>
    </row>
    <row r="71" spans="1:28" s="91" customFormat="1" ht="17.25" customHeight="1">
      <c r="A71" s="997"/>
      <c r="B71" s="116">
        <f t="shared" si="19"/>
        <v>23</v>
      </c>
      <c r="C71" s="121">
        <f>'Food-Data Entry'!L29</f>
        <v>44918</v>
      </c>
      <c r="D71" s="122" t="str">
        <f>'Food-Data Entry'!O29</f>
        <v>Friday</v>
      </c>
      <c r="E71" s="140">
        <f t="shared" si="20"/>
        <v>20</v>
      </c>
      <c r="F71" s="141">
        <f t="shared" si="21"/>
        <v>20</v>
      </c>
      <c r="G71" s="140">
        <f>'Food-Data Entry'!AE29</f>
        <v>0</v>
      </c>
      <c r="H71" s="141">
        <f>'Food-Data Entry'!AG29</f>
        <v>0</v>
      </c>
      <c r="I71" s="140">
        <f>'Food-Data Entry'!AI29</f>
        <v>0</v>
      </c>
      <c r="J71" s="141">
        <f>'Food-Data Entry'!AK29</f>
        <v>0</v>
      </c>
      <c r="K71" s="221">
        <f t="shared" si="12"/>
        <v>20</v>
      </c>
      <c r="L71" s="222">
        <f t="shared" si="13"/>
        <v>20</v>
      </c>
      <c r="M71" s="140">
        <f>'Food-Data Entry'!AY29</f>
        <v>0</v>
      </c>
      <c r="N71" s="141">
        <f>'Food-Data Entry'!AZ29</f>
        <v>0</v>
      </c>
      <c r="O71" s="221">
        <f t="shared" si="14"/>
        <v>20</v>
      </c>
      <c r="P71" s="227">
        <f t="shared" si="15"/>
        <v>20</v>
      </c>
      <c r="Q71" s="234">
        <f>'Food-Data Entry'!U29</f>
        <v>30</v>
      </c>
      <c r="R71" s="235">
        <f>'Food-Data Entry'!V29</f>
        <v>43</v>
      </c>
      <c r="S71" s="238">
        <f t="shared" si="16"/>
        <v>73</v>
      </c>
      <c r="T71" s="234">
        <f>'Food-Data Entry'!AA29</f>
        <v>0</v>
      </c>
      <c r="U71" s="235">
        <f>'Food-Data Entry'!AB29</f>
        <v>0</v>
      </c>
      <c r="V71" s="238">
        <f t="shared" si="17"/>
        <v>0</v>
      </c>
      <c r="W71" s="234">
        <f>'Food-Data Entry'!AA29</f>
        <v>0</v>
      </c>
      <c r="X71" s="235">
        <f>'Food-Data Entry'!AB29</f>
        <v>0</v>
      </c>
      <c r="Y71" s="238">
        <f t="shared" si="18"/>
        <v>0</v>
      </c>
      <c r="Z71" s="123"/>
      <c r="AA71" s="996"/>
      <c r="AB71" s="90" t="e">
        <f>#REF!+#REF!+#REF!+#REF!</f>
        <v>#REF!</v>
      </c>
    </row>
    <row r="72" spans="1:28" s="91" customFormat="1" ht="17.25" customHeight="1">
      <c r="A72" s="997"/>
      <c r="B72" s="116">
        <f t="shared" si="19"/>
        <v>24</v>
      </c>
      <c r="C72" s="121">
        <f>'Food-Data Entry'!L30</f>
        <v>44919</v>
      </c>
      <c r="D72" s="122" t="str">
        <f>'Food-Data Entry'!O30</f>
        <v>Saturday</v>
      </c>
      <c r="E72" s="140">
        <f t="shared" si="20"/>
        <v>20</v>
      </c>
      <c r="F72" s="141">
        <f t="shared" si="21"/>
        <v>20</v>
      </c>
      <c r="G72" s="140">
        <f>'Food-Data Entry'!AE30</f>
        <v>0</v>
      </c>
      <c r="H72" s="141">
        <f>'Food-Data Entry'!AG30</f>
        <v>0</v>
      </c>
      <c r="I72" s="140">
        <f>'Food-Data Entry'!AI30</f>
        <v>0</v>
      </c>
      <c r="J72" s="141">
        <f>'Food-Data Entry'!AK30</f>
        <v>0</v>
      </c>
      <c r="K72" s="221">
        <f t="shared" si="12"/>
        <v>20</v>
      </c>
      <c r="L72" s="222">
        <f t="shared" si="13"/>
        <v>20</v>
      </c>
      <c r="M72" s="140">
        <f>'Food-Data Entry'!AY30</f>
        <v>0</v>
      </c>
      <c r="N72" s="141">
        <f>'Food-Data Entry'!AZ30</f>
        <v>0</v>
      </c>
      <c r="O72" s="221">
        <f t="shared" si="14"/>
        <v>20</v>
      </c>
      <c r="P72" s="227">
        <f t="shared" si="15"/>
        <v>20</v>
      </c>
      <c r="Q72" s="234">
        <f>'Food-Data Entry'!U30</f>
        <v>30</v>
      </c>
      <c r="R72" s="235">
        <f>'Food-Data Entry'!V30</f>
        <v>43</v>
      </c>
      <c r="S72" s="238">
        <f t="shared" si="16"/>
        <v>73</v>
      </c>
      <c r="T72" s="234">
        <f>'Food-Data Entry'!AA30</f>
        <v>0</v>
      </c>
      <c r="U72" s="235">
        <f>'Food-Data Entry'!AB30</f>
        <v>0</v>
      </c>
      <c r="V72" s="238">
        <f t="shared" si="17"/>
        <v>0</v>
      </c>
      <c r="W72" s="234">
        <f>'Food-Data Entry'!AA30</f>
        <v>0</v>
      </c>
      <c r="X72" s="235">
        <f>'Food-Data Entry'!AB30</f>
        <v>0</v>
      </c>
      <c r="Y72" s="238">
        <f t="shared" si="18"/>
        <v>0</v>
      </c>
      <c r="Z72" s="123"/>
      <c r="AA72" s="996"/>
      <c r="AB72" s="90" t="e">
        <f>#REF!+#REF!+#REF!+#REF!</f>
        <v>#REF!</v>
      </c>
    </row>
    <row r="73" spans="1:28" s="91" customFormat="1" ht="17.25" customHeight="1">
      <c r="A73" s="997"/>
      <c r="B73" s="116">
        <f t="shared" si="19"/>
        <v>25</v>
      </c>
      <c r="C73" s="121">
        <f>'Food-Data Entry'!L31</f>
        <v>44920</v>
      </c>
      <c r="D73" s="122" t="str">
        <f>'Food-Data Entry'!O31</f>
        <v>Holiday</v>
      </c>
      <c r="E73" s="140">
        <f t="shared" si="20"/>
        <v>20</v>
      </c>
      <c r="F73" s="141">
        <f t="shared" si="21"/>
        <v>20</v>
      </c>
      <c r="G73" s="140">
        <f>'Food-Data Entry'!AE31</f>
        <v>0</v>
      </c>
      <c r="H73" s="141">
        <f>'Food-Data Entry'!AG31</f>
        <v>0</v>
      </c>
      <c r="I73" s="140">
        <f>'Food-Data Entry'!AI31</f>
        <v>0</v>
      </c>
      <c r="J73" s="141">
        <f>'Food-Data Entry'!AK31</f>
        <v>0</v>
      </c>
      <c r="K73" s="221">
        <f t="shared" si="12"/>
        <v>20</v>
      </c>
      <c r="L73" s="222">
        <f t="shared" si="13"/>
        <v>20</v>
      </c>
      <c r="M73" s="140">
        <f>'Food-Data Entry'!AY31</f>
        <v>0</v>
      </c>
      <c r="N73" s="141">
        <f>'Food-Data Entry'!AZ31</f>
        <v>0</v>
      </c>
      <c r="O73" s="221">
        <f t="shared" si="14"/>
        <v>20</v>
      </c>
      <c r="P73" s="227">
        <f t="shared" si="15"/>
        <v>20</v>
      </c>
      <c r="Q73" s="234">
        <f>'Food-Data Entry'!U31</f>
        <v>30</v>
      </c>
      <c r="R73" s="235">
        <f>'Food-Data Entry'!V31</f>
        <v>43</v>
      </c>
      <c r="S73" s="238">
        <f t="shared" si="16"/>
        <v>73</v>
      </c>
      <c r="T73" s="234">
        <f>'Food-Data Entry'!AA31</f>
        <v>0</v>
      </c>
      <c r="U73" s="235">
        <f>'Food-Data Entry'!AB31</f>
        <v>0</v>
      </c>
      <c r="V73" s="238">
        <f t="shared" si="17"/>
        <v>0</v>
      </c>
      <c r="W73" s="234">
        <f>'Food-Data Entry'!AA31</f>
        <v>0</v>
      </c>
      <c r="X73" s="235">
        <f>'Food-Data Entry'!AB31</f>
        <v>0</v>
      </c>
      <c r="Y73" s="238">
        <f t="shared" si="18"/>
        <v>0</v>
      </c>
      <c r="Z73" s="123"/>
      <c r="AA73" s="996"/>
      <c r="AB73" s="90" t="e">
        <f>#REF!+#REF!+#REF!+#REF!</f>
        <v>#REF!</v>
      </c>
    </row>
    <row r="74" spans="1:28" s="91" customFormat="1" ht="17.25" customHeight="1">
      <c r="A74" s="997"/>
      <c r="B74" s="116">
        <f t="shared" si="19"/>
        <v>26</v>
      </c>
      <c r="C74" s="121">
        <f>'Food-Data Entry'!L32</f>
        <v>44921</v>
      </c>
      <c r="D74" s="122" t="str">
        <f>'Food-Data Entry'!O32</f>
        <v>Monday</v>
      </c>
      <c r="E74" s="140">
        <f t="shared" si="20"/>
        <v>20</v>
      </c>
      <c r="F74" s="141">
        <f t="shared" si="21"/>
        <v>20</v>
      </c>
      <c r="G74" s="140">
        <f>'Food-Data Entry'!AE32</f>
        <v>0</v>
      </c>
      <c r="H74" s="141">
        <f>'Food-Data Entry'!AG32</f>
        <v>0</v>
      </c>
      <c r="I74" s="140">
        <f>'Food-Data Entry'!AI32</f>
        <v>0</v>
      </c>
      <c r="J74" s="141">
        <f>'Food-Data Entry'!AK32</f>
        <v>0</v>
      </c>
      <c r="K74" s="221">
        <f t="shared" si="12"/>
        <v>20</v>
      </c>
      <c r="L74" s="222">
        <f t="shared" si="13"/>
        <v>20</v>
      </c>
      <c r="M74" s="140">
        <f>'Food-Data Entry'!AY32</f>
        <v>0</v>
      </c>
      <c r="N74" s="141">
        <f>'Food-Data Entry'!AZ32</f>
        <v>0</v>
      </c>
      <c r="O74" s="221">
        <f t="shared" si="14"/>
        <v>20</v>
      </c>
      <c r="P74" s="227">
        <f t="shared" si="15"/>
        <v>20</v>
      </c>
      <c r="Q74" s="234">
        <f>'Food-Data Entry'!U32</f>
        <v>30</v>
      </c>
      <c r="R74" s="235">
        <f>'Food-Data Entry'!V32</f>
        <v>43</v>
      </c>
      <c r="S74" s="238">
        <f t="shared" si="16"/>
        <v>73</v>
      </c>
      <c r="T74" s="234">
        <f>'Food-Data Entry'!AA32</f>
        <v>0</v>
      </c>
      <c r="U74" s="235">
        <f>'Food-Data Entry'!AB32</f>
        <v>0</v>
      </c>
      <c r="V74" s="238">
        <f t="shared" si="17"/>
        <v>0</v>
      </c>
      <c r="W74" s="234">
        <f>'Food-Data Entry'!AA32</f>
        <v>0</v>
      </c>
      <c r="X74" s="235">
        <f>'Food-Data Entry'!AB32</f>
        <v>0</v>
      </c>
      <c r="Y74" s="238">
        <f t="shared" si="18"/>
        <v>0</v>
      </c>
      <c r="Z74" s="123"/>
      <c r="AA74" s="996"/>
      <c r="AB74" s="90" t="e">
        <f>#REF!+#REF!+#REF!+#REF!</f>
        <v>#REF!</v>
      </c>
    </row>
    <row r="75" spans="1:28" s="91" customFormat="1" ht="17.25" customHeight="1">
      <c r="A75" s="997"/>
      <c r="B75" s="116">
        <f t="shared" si="19"/>
        <v>27</v>
      </c>
      <c r="C75" s="121">
        <f>'Food-Data Entry'!L33</f>
        <v>44922</v>
      </c>
      <c r="D75" s="122" t="str">
        <f>'Food-Data Entry'!O33</f>
        <v>Tuesday</v>
      </c>
      <c r="E75" s="140">
        <f t="shared" si="20"/>
        <v>20</v>
      </c>
      <c r="F75" s="141">
        <f t="shared" si="21"/>
        <v>20</v>
      </c>
      <c r="G75" s="140">
        <f>'Food-Data Entry'!AE33</f>
        <v>0</v>
      </c>
      <c r="H75" s="141">
        <f>'Food-Data Entry'!AG33</f>
        <v>0</v>
      </c>
      <c r="I75" s="140">
        <f>'Food-Data Entry'!AI33</f>
        <v>0</v>
      </c>
      <c r="J75" s="141">
        <f>'Food-Data Entry'!AK33</f>
        <v>0</v>
      </c>
      <c r="K75" s="221">
        <f t="shared" si="12"/>
        <v>20</v>
      </c>
      <c r="L75" s="222">
        <f t="shared" si="13"/>
        <v>20</v>
      </c>
      <c r="M75" s="140">
        <f>'Food-Data Entry'!AY33</f>
        <v>0</v>
      </c>
      <c r="N75" s="141">
        <f>'Food-Data Entry'!AZ33</f>
        <v>0</v>
      </c>
      <c r="O75" s="221">
        <f t="shared" si="14"/>
        <v>20</v>
      </c>
      <c r="P75" s="227">
        <f t="shared" si="15"/>
        <v>20</v>
      </c>
      <c r="Q75" s="234">
        <f>'Food-Data Entry'!U33</f>
        <v>30</v>
      </c>
      <c r="R75" s="235">
        <f>'Food-Data Entry'!V33</f>
        <v>43</v>
      </c>
      <c r="S75" s="238">
        <f t="shared" si="16"/>
        <v>73</v>
      </c>
      <c r="T75" s="234">
        <f>'Food-Data Entry'!AA33</f>
        <v>0</v>
      </c>
      <c r="U75" s="235">
        <f>'Food-Data Entry'!AB33</f>
        <v>0</v>
      </c>
      <c r="V75" s="238">
        <f t="shared" si="17"/>
        <v>0</v>
      </c>
      <c r="W75" s="234">
        <f>'Food-Data Entry'!AA33</f>
        <v>0</v>
      </c>
      <c r="X75" s="235">
        <f>'Food-Data Entry'!AB33</f>
        <v>0</v>
      </c>
      <c r="Y75" s="238">
        <f t="shared" si="18"/>
        <v>0</v>
      </c>
      <c r="Z75" s="123"/>
      <c r="AA75" s="996"/>
      <c r="AB75" s="90" t="e">
        <f>#REF!+#REF!+#REF!+#REF!</f>
        <v>#REF!</v>
      </c>
    </row>
    <row r="76" spans="1:28" s="91" customFormat="1" ht="17.25" customHeight="1">
      <c r="A76" s="997"/>
      <c r="B76" s="116">
        <f t="shared" si="19"/>
        <v>28</v>
      </c>
      <c r="C76" s="121">
        <f>'Food-Data Entry'!L34</f>
        <v>44923</v>
      </c>
      <c r="D76" s="122" t="str">
        <f>'Food-Data Entry'!O34</f>
        <v>Wednesday</v>
      </c>
      <c r="E76" s="140">
        <f t="shared" si="20"/>
        <v>20</v>
      </c>
      <c r="F76" s="141">
        <f t="shared" si="21"/>
        <v>20</v>
      </c>
      <c r="G76" s="140">
        <f>'Food-Data Entry'!AE34</f>
        <v>0</v>
      </c>
      <c r="H76" s="141">
        <f>'Food-Data Entry'!AG34</f>
        <v>0</v>
      </c>
      <c r="I76" s="140">
        <f>'Food-Data Entry'!AI34</f>
        <v>0</v>
      </c>
      <c r="J76" s="141">
        <f>'Food-Data Entry'!AK34</f>
        <v>0</v>
      </c>
      <c r="K76" s="221">
        <f t="shared" si="12"/>
        <v>20</v>
      </c>
      <c r="L76" s="222">
        <f t="shared" si="13"/>
        <v>20</v>
      </c>
      <c r="M76" s="140">
        <f>'Food-Data Entry'!AY34</f>
        <v>0</v>
      </c>
      <c r="N76" s="141">
        <f>'Food-Data Entry'!AZ34</f>
        <v>0</v>
      </c>
      <c r="O76" s="221">
        <f t="shared" si="14"/>
        <v>20</v>
      </c>
      <c r="P76" s="227">
        <f t="shared" si="15"/>
        <v>20</v>
      </c>
      <c r="Q76" s="234">
        <f>'Food-Data Entry'!U34</f>
        <v>30</v>
      </c>
      <c r="R76" s="235">
        <f>'Food-Data Entry'!V34</f>
        <v>43</v>
      </c>
      <c r="S76" s="238">
        <f t="shared" si="16"/>
        <v>73</v>
      </c>
      <c r="T76" s="234">
        <f>'Food-Data Entry'!AA34</f>
        <v>0</v>
      </c>
      <c r="U76" s="235">
        <f>'Food-Data Entry'!AB34</f>
        <v>0</v>
      </c>
      <c r="V76" s="238">
        <f t="shared" si="17"/>
        <v>0</v>
      </c>
      <c r="W76" s="234">
        <f>'Food-Data Entry'!AA34</f>
        <v>0</v>
      </c>
      <c r="X76" s="235">
        <f>'Food-Data Entry'!AB34</f>
        <v>0</v>
      </c>
      <c r="Y76" s="238">
        <f t="shared" si="18"/>
        <v>0</v>
      </c>
      <c r="Z76" s="123"/>
      <c r="AA76" s="996"/>
      <c r="AB76" s="90" t="e">
        <f>#REF!+#REF!+#REF!+#REF!</f>
        <v>#REF!</v>
      </c>
    </row>
    <row r="77" spans="1:28" s="91" customFormat="1" ht="17.25" customHeight="1">
      <c r="A77" s="997"/>
      <c r="B77" s="116">
        <f t="shared" si="19"/>
        <v>29</v>
      </c>
      <c r="C77" s="121">
        <f>'Food-Data Entry'!L35</f>
        <v>44924</v>
      </c>
      <c r="D77" s="122" t="str">
        <f>'Food-Data Entry'!O35</f>
        <v>Thursday</v>
      </c>
      <c r="E77" s="140">
        <f t="shared" si="20"/>
        <v>20</v>
      </c>
      <c r="F77" s="141">
        <f t="shared" si="21"/>
        <v>20</v>
      </c>
      <c r="G77" s="140">
        <f>'Food-Data Entry'!AE35</f>
        <v>0</v>
      </c>
      <c r="H77" s="141">
        <f>'Food-Data Entry'!AG35</f>
        <v>0</v>
      </c>
      <c r="I77" s="140">
        <f>'Food-Data Entry'!AI35</f>
        <v>0</v>
      </c>
      <c r="J77" s="141">
        <f>'Food-Data Entry'!AK35</f>
        <v>0</v>
      </c>
      <c r="K77" s="221">
        <f t="shared" si="12"/>
        <v>20</v>
      </c>
      <c r="L77" s="222">
        <f t="shared" si="13"/>
        <v>20</v>
      </c>
      <c r="M77" s="140">
        <f>'Food-Data Entry'!AY35</f>
        <v>0</v>
      </c>
      <c r="N77" s="141">
        <f>'Food-Data Entry'!AZ35</f>
        <v>0</v>
      </c>
      <c r="O77" s="221">
        <f t="shared" si="14"/>
        <v>20</v>
      </c>
      <c r="P77" s="227">
        <f t="shared" si="15"/>
        <v>20</v>
      </c>
      <c r="Q77" s="234">
        <f>'Food-Data Entry'!U35</f>
        <v>30</v>
      </c>
      <c r="R77" s="235">
        <f>'Food-Data Entry'!V35</f>
        <v>43</v>
      </c>
      <c r="S77" s="238">
        <f t="shared" si="16"/>
        <v>73</v>
      </c>
      <c r="T77" s="234">
        <f>'Food-Data Entry'!AA35</f>
        <v>0</v>
      </c>
      <c r="U77" s="235">
        <f>'Food-Data Entry'!AB35</f>
        <v>0</v>
      </c>
      <c r="V77" s="238">
        <f t="shared" si="17"/>
        <v>0</v>
      </c>
      <c r="W77" s="234">
        <f>'Food-Data Entry'!AA35</f>
        <v>0</v>
      </c>
      <c r="X77" s="235">
        <f>'Food-Data Entry'!AB35</f>
        <v>0</v>
      </c>
      <c r="Y77" s="238">
        <f t="shared" si="18"/>
        <v>0</v>
      </c>
      <c r="Z77" s="123"/>
      <c r="AA77" s="996"/>
      <c r="AB77" s="90" t="e">
        <f>#REF!+#REF!+#REF!+#REF!</f>
        <v>#REF!</v>
      </c>
    </row>
    <row r="78" spans="1:28" s="91" customFormat="1" ht="17.25" customHeight="1">
      <c r="A78" s="997"/>
      <c r="B78" s="116">
        <f t="shared" si="19"/>
        <v>30</v>
      </c>
      <c r="C78" s="121">
        <f>'Food-Data Entry'!L36</f>
        <v>44925</v>
      </c>
      <c r="D78" s="122" t="str">
        <f>'Food-Data Entry'!O36</f>
        <v>Friday</v>
      </c>
      <c r="E78" s="140">
        <f t="shared" si="20"/>
        <v>20</v>
      </c>
      <c r="F78" s="141">
        <f t="shared" si="21"/>
        <v>20</v>
      </c>
      <c r="G78" s="140">
        <f>'Food-Data Entry'!AE36</f>
        <v>0</v>
      </c>
      <c r="H78" s="141">
        <f>'Food-Data Entry'!AG36</f>
        <v>0</v>
      </c>
      <c r="I78" s="140">
        <f>'Food-Data Entry'!AI36</f>
        <v>0</v>
      </c>
      <c r="J78" s="141">
        <f>'Food-Data Entry'!AK36</f>
        <v>0</v>
      </c>
      <c r="K78" s="221">
        <f t="shared" si="12"/>
        <v>20</v>
      </c>
      <c r="L78" s="222">
        <f t="shared" si="13"/>
        <v>20</v>
      </c>
      <c r="M78" s="140">
        <f>'Food-Data Entry'!AY36</f>
        <v>0</v>
      </c>
      <c r="N78" s="141">
        <f>'Food-Data Entry'!AZ36</f>
        <v>0</v>
      </c>
      <c r="O78" s="221">
        <f t="shared" si="14"/>
        <v>20</v>
      </c>
      <c r="P78" s="227">
        <f t="shared" si="15"/>
        <v>20</v>
      </c>
      <c r="Q78" s="234">
        <f>'Food-Data Entry'!U36</f>
        <v>30</v>
      </c>
      <c r="R78" s="235">
        <f>'Food-Data Entry'!V36</f>
        <v>43</v>
      </c>
      <c r="S78" s="238">
        <f t="shared" si="16"/>
        <v>73</v>
      </c>
      <c r="T78" s="234">
        <f>'Food-Data Entry'!AA36</f>
        <v>0</v>
      </c>
      <c r="U78" s="235">
        <f>'Food-Data Entry'!AB36</f>
        <v>0</v>
      </c>
      <c r="V78" s="238">
        <f t="shared" si="17"/>
        <v>0</v>
      </c>
      <c r="W78" s="234">
        <f>'Food-Data Entry'!AA36</f>
        <v>0</v>
      </c>
      <c r="X78" s="235">
        <f>'Food-Data Entry'!AB36</f>
        <v>0</v>
      </c>
      <c r="Y78" s="238">
        <f t="shared" si="18"/>
        <v>0</v>
      </c>
      <c r="Z78" s="123"/>
      <c r="AA78" s="996"/>
      <c r="AB78" s="90" t="e">
        <f>#REF!+#REF!+#REF!+#REF!</f>
        <v>#REF!</v>
      </c>
    </row>
    <row r="79" spans="1:28" s="91" customFormat="1" ht="19.5" customHeight="1" thickBot="1">
      <c r="A79" s="997"/>
      <c r="B79" s="128">
        <f t="shared" si="19"/>
        <v>31</v>
      </c>
      <c r="C79" s="124">
        <f>'Food-Data Entry'!L37</f>
        <v>44926</v>
      </c>
      <c r="D79" s="125" t="str">
        <f>'Food-Data Entry'!O37</f>
        <v>Saturday</v>
      </c>
      <c r="E79" s="142">
        <f t="shared" si="20"/>
        <v>20</v>
      </c>
      <c r="F79" s="143">
        <f t="shared" si="21"/>
        <v>20</v>
      </c>
      <c r="G79" s="142">
        <f>'Food-Data Entry'!AE37</f>
        <v>0</v>
      </c>
      <c r="H79" s="143">
        <f>'Food-Data Entry'!AG37</f>
        <v>0</v>
      </c>
      <c r="I79" s="142">
        <f>'Food-Data Entry'!AI37</f>
        <v>0</v>
      </c>
      <c r="J79" s="143">
        <f>'Food-Data Entry'!AK37</f>
        <v>0</v>
      </c>
      <c r="K79" s="223">
        <f t="shared" si="12"/>
        <v>20</v>
      </c>
      <c r="L79" s="224">
        <f t="shared" si="13"/>
        <v>20</v>
      </c>
      <c r="M79" s="145">
        <f>'Food-Data Entry'!AY37</f>
        <v>0</v>
      </c>
      <c r="N79" s="144">
        <f>'Food-Data Entry'!AZ37</f>
        <v>0</v>
      </c>
      <c r="O79" s="228">
        <f t="shared" si="14"/>
        <v>20</v>
      </c>
      <c r="P79" s="229">
        <f t="shared" si="15"/>
        <v>20</v>
      </c>
      <c r="Q79" s="236">
        <f>'Food-Data Entry'!U37</f>
        <v>30</v>
      </c>
      <c r="R79" s="237">
        <f>'Food-Data Entry'!V37</f>
        <v>43</v>
      </c>
      <c r="S79" s="239">
        <f t="shared" si="16"/>
        <v>73</v>
      </c>
      <c r="T79" s="236">
        <f>'Food-Data Entry'!AA37</f>
        <v>0</v>
      </c>
      <c r="U79" s="237">
        <f>'Food-Data Entry'!AB37</f>
        <v>0</v>
      </c>
      <c r="V79" s="239">
        <f t="shared" si="17"/>
        <v>0</v>
      </c>
      <c r="W79" s="236">
        <f>'Food-Data Entry'!AA37</f>
        <v>0</v>
      </c>
      <c r="X79" s="237">
        <f>'Food-Data Entry'!AB37</f>
        <v>0</v>
      </c>
      <c r="Y79" s="239">
        <f t="shared" si="18"/>
        <v>0</v>
      </c>
      <c r="Z79" s="129"/>
      <c r="AA79" s="996"/>
      <c r="AB79" s="90" t="e">
        <f>#REF!+#REF!+#REF!+#REF!</f>
        <v>#REF!</v>
      </c>
    </row>
    <row r="80" spans="1:28" s="91" customFormat="1" ht="19.5" customHeight="1">
      <c r="A80" s="997"/>
      <c r="B80" s="1046" t="s">
        <v>325</v>
      </c>
      <c r="C80" s="1047"/>
      <c r="D80" s="240" t="s">
        <v>326</v>
      </c>
      <c r="E80" s="1050">
        <f>'Food-Data Entry'!AE38</f>
        <v>0</v>
      </c>
      <c r="F80" s="1050"/>
      <c r="G80" s="1051"/>
      <c r="H80" s="1046" t="s">
        <v>328</v>
      </c>
      <c r="I80" s="1047"/>
      <c r="J80" s="1052"/>
      <c r="K80" s="1054" t="s">
        <v>326</v>
      </c>
      <c r="L80" s="1055"/>
      <c r="M80" s="1050">
        <f>'Food-Data Entry'!AI38</f>
        <v>0</v>
      </c>
      <c r="N80" s="1050"/>
      <c r="O80" s="1051"/>
      <c r="P80" s="1056" t="s">
        <v>329</v>
      </c>
      <c r="Q80" s="1057"/>
      <c r="R80" s="1057"/>
      <c r="S80" s="1058"/>
      <c r="T80" s="1062" t="s">
        <v>330</v>
      </c>
      <c r="U80" s="1063"/>
      <c r="V80" s="1063"/>
      <c r="W80" s="1064">
        <f>O79</f>
        <v>20</v>
      </c>
      <c r="X80" s="1064"/>
      <c r="Y80" s="1064"/>
      <c r="Z80" s="1065"/>
      <c r="AA80" s="996"/>
      <c r="AB80" s="90"/>
    </row>
    <row r="81" spans="1:29" s="91" customFormat="1" ht="19.5" customHeight="1" thickBot="1">
      <c r="A81" s="997"/>
      <c r="B81" s="1048"/>
      <c r="C81" s="1049"/>
      <c r="D81" s="241" t="s">
        <v>327</v>
      </c>
      <c r="E81" s="1066">
        <f>'Food-Data Entry'!AG38</f>
        <v>0</v>
      </c>
      <c r="F81" s="1066"/>
      <c r="G81" s="1067"/>
      <c r="H81" s="1048"/>
      <c r="I81" s="1049"/>
      <c r="J81" s="1053"/>
      <c r="K81" s="1068" t="s">
        <v>327</v>
      </c>
      <c r="L81" s="1069"/>
      <c r="M81" s="1066">
        <f>'Food-Data Entry'!AK38</f>
        <v>0</v>
      </c>
      <c r="N81" s="1066"/>
      <c r="O81" s="1067"/>
      <c r="P81" s="1059"/>
      <c r="Q81" s="1060"/>
      <c r="R81" s="1060"/>
      <c r="S81" s="1061"/>
      <c r="T81" s="1070" t="s">
        <v>331</v>
      </c>
      <c r="U81" s="1070"/>
      <c r="V81" s="1070"/>
      <c r="W81" s="1071">
        <f>P79</f>
        <v>20</v>
      </c>
      <c r="X81" s="1071"/>
      <c r="Y81" s="1071"/>
      <c r="Z81" s="1072"/>
      <c r="AA81" s="996"/>
      <c r="AB81" s="90"/>
    </row>
    <row r="82" spans="1:29" ht="15" customHeight="1" thickBot="1">
      <c r="A82" s="997"/>
      <c r="B82" s="1073"/>
      <c r="C82" s="1073"/>
      <c r="D82" s="1073"/>
      <c r="E82" s="1073"/>
      <c r="F82" s="1073"/>
      <c r="G82" s="1073"/>
      <c r="H82" s="1073"/>
      <c r="I82" s="1073"/>
      <c r="J82" s="1073"/>
      <c r="K82" s="1073"/>
      <c r="L82" s="1073"/>
      <c r="M82" s="1073"/>
      <c r="N82" s="1073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86"/>
      <c r="AA82" s="996"/>
    </row>
    <row r="83" spans="1:29" ht="15.75" hidden="1" thickBot="1">
      <c r="A83" s="996"/>
      <c r="B83" s="996"/>
      <c r="C83" s="996"/>
      <c r="D83" s="996"/>
      <c r="E83" s="996"/>
      <c r="F83" s="996"/>
      <c r="G83" s="996"/>
      <c r="H83" s="996"/>
      <c r="I83" s="996"/>
      <c r="J83" s="996"/>
      <c r="K83" s="996"/>
      <c r="L83" s="996"/>
      <c r="M83" s="996"/>
      <c r="N83" s="996"/>
      <c r="O83" s="996"/>
      <c r="P83" s="996"/>
      <c r="Q83" s="996"/>
      <c r="R83" s="996"/>
      <c r="S83" s="996"/>
      <c r="T83" s="996"/>
      <c r="U83" s="996"/>
      <c r="V83" s="996"/>
      <c r="W83" s="996"/>
      <c r="X83" s="996"/>
      <c r="Y83" s="996"/>
      <c r="Z83" s="996"/>
      <c r="AA83" s="996"/>
    </row>
    <row r="84" spans="1:29" s="115" customFormat="1" ht="25.5" customHeight="1" thickBot="1">
      <c r="A84" s="997"/>
      <c r="B84" s="998" t="str">
        <f>'Food-Data Entry'!B2</f>
        <v>dk;kZy;%jktdh; mPp ek/;fed fo|ky; jk;eyok³k ¼ckfi.kh½] tks/kiqj</v>
      </c>
      <c r="C84" s="999"/>
      <c r="D84" s="999"/>
      <c r="E84" s="1000"/>
      <c r="F84" s="1000"/>
      <c r="G84" s="1000"/>
      <c r="H84" s="1000"/>
      <c r="I84" s="1000"/>
      <c r="J84" s="1000"/>
      <c r="K84" s="1000"/>
      <c r="L84" s="1000"/>
      <c r="M84" s="1000"/>
      <c r="N84" s="1000"/>
      <c r="O84" s="999"/>
      <c r="P84" s="999"/>
      <c r="Q84" s="999"/>
      <c r="R84" s="999"/>
      <c r="S84" s="999"/>
      <c r="T84" s="999"/>
      <c r="U84" s="999"/>
      <c r="V84" s="999"/>
      <c r="W84" s="999"/>
      <c r="X84" s="999"/>
      <c r="Y84" s="999"/>
      <c r="Z84" s="1001"/>
      <c r="AA84" s="996"/>
      <c r="AC84" s="126">
        <f>EOMONTH('Food-Data Entry'!AM3,-1)+1</f>
        <v>44896</v>
      </c>
    </row>
    <row r="85" spans="1:29" ht="22.5" customHeight="1" thickBot="1">
      <c r="A85" s="997"/>
      <c r="B85" s="1002"/>
      <c r="C85" s="1003"/>
      <c r="D85" s="1004"/>
      <c r="E85" s="1005" t="s">
        <v>335</v>
      </c>
      <c r="F85" s="1006"/>
      <c r="G85" s="1006"/>
      <c r="H85" s="1006"/>
      <c r="I85" s="1006"/>
      <c r="J85" s="1006"/>
      <c r="K85" s="1006"/>
      <c r="L85" s="1006"/>
      <c r="M85" s="1006"/>
      <c r="N85" s="1006"/>
      <c r="O85" s="1006"/>
      <c r="P85" s="1007" t="e">
        <f>#REF!</f>
        <v>#REF!</v>
      </c>
      <c r="Q85" s="1008"/>
      <c r="R85" s="1008"/>
      <c r="S85" s="1008"/>
      <c r="T85" s="1008"/>
      <c r="U85" s="1008"/>
      <c r="V85" s="1008"/>
      <c r="W85" s="1008"/>
      <c r="X85" s="1008"/>
      <c r="Y85" s="1008"/>
      <c r="Z85" s="1009"/>
      <c r="AA85" s="996"/>
      <c r="AC85" s="127">
        <f>EOMONTH('Food-Data Entry'!AM3,0)</f>
        <v>44926</v>
      </c>
    </row>
    <row r="86" spans="1:29" ht="21" thickBot="1">
      <c r="A86" s="997"/>
      <c r="B86" s="1010" t="s">
        <v>248</v>
      </c>
      <c r="C86" s="1014" t="s">
        <v>263</v>
      </c>
      <c r="D86" s="1018" t="s">
        <v>116</v>
      </c>
      <c r="E86" s="1021" t="s">
        <v>284</v>
      </c>
      <c r="F86" s="1022"/>
      <c r="G86" s="1022"/>
      <c r="H86" s="1022"/>
      <c r="I86" s="1022"/>
      <c r="J86" s="1022"/>
      <c r="K86" s="1022"/>
      <c r="L86" s="1022"/>
      <c r="M86" s="1022"/>
      <c r="N86" s="1022"/>
      <c r="O86" s="1022"/>
      <c r="P86" s="1023"/>
      <c r="Q86" s="1024" t="s">
        <v>333</v>
      </c>
      <c r="R86" s="1025"/>
      <c r="S86" s="1025"/>
      <c r="T86" s="1025"/>
      <c r="U86" s="1025"/>
      <c r="V86" s="1025"/>
      <c r="W86" s="1025"/>
      <c r="X86" s="1025"/>
      <c r="Y86" s="1026"/>
      <c r="Z86" s="1027" t="s">
        <v>264</v>
      </c>
      <c r="AA86" s="996"/>
    </row>
    <row r="87" spans="1:29" ht="26.25" customHeight="1">
      <c r="A87" s="997"/>
      <c r="B87" s="1011"/>
      <c r="C87" s="1015"/>
      <c r="D87" s="1019"/>
      <c r="E87" s="1030" t="s">
        <v>265</v>
      </c>
      <c r="F87" s="1031"/>
      <c r="G87" s="1030" t="s">
        <v>316</v>
      </c>
      <c r="H87" s="1031"/>
      <c r="I87" s="1030" t="s">
        <v>317</v>
      </c>
      <c r="J87" s="1031"/>
      <c r="K87" s="1032" t="s">
        <v>266</v>
      </c>
      <c r="L87" s="1033"/>
      <c r="M87" s="1030" t="s">
        <v>287</v>
      </c>
      <c r="N87" s="1031"/>
      <c r="O87" s="1034" t="s">
        <v>267</v>
      </c>
      <c r="P87" s="1035"/>
      <c r="Q87" s="1036" t="s">
        <v>318</v>
      </c>
      <c r="R87" s="1037"/>
      <c r="S87" s="1038"/>
      <c r="T87" s="1036" t="s">
        <v>319</v>
      </c>
      <c r="U87" s="1037"/>
      <c r="V87" s="1038"/>
      <c r="W87" s="1036" t="s">
        <v>320</v>
      </c>
      <c r="X87" s="1037"/>
      <c r="Y87" s="1038"/>
      <c r="Z87" s="1028"/>
      <c r="AA87" s="996"/>
    </row>
    <row r="88" spans="1:29" ht="15" customHeight="1">
      <c r="A88" s="997"/>
      <c r="B88" s="1012"/>
      <c r="C88" s="1016"/>
      <c r="D88" s="1019"/>
      <c r="E88" s="1039" t="s">
        <v>336</v>
      </c>
      <c r="F88" s="1040"/>
      <c r="G88" s="1039" t="s">
        <v>336</v>
      </c>
      <c r="H88" s="1040"/>
      <c r="I88" s="1039" t="s">
        <v>336</v>
      </c>
      <c r="J88" s="1040"/>
      <c r="K88" s="1041" t="s">
        <v>336</v>
      </c>
      <c r="L88" s="1042"/>
      <c r="M88" s="1039" t="s">
        <v>336</v>
      </c>
      <c r="N88" s="1040"/>
      <c r="O88" s="1041" t="s">
        <v>336</v>
      </c>
      <c r="P88" s="1042"/>
      <c r="Q88" s="1043" t="s">
        <v>336</v>
      </c>
      <c r="R88" s="1044"/>
      <c r="S88" s="1045"/>
      <c r="T88" s="1043" t="s">
        <v>336</v>
      </c>
      <c r="U88" s="1044"/>
      <c r="V88" s="1045"/>
      <c r="W88" s="1043" t="s">
        <v>336</v>
      </c>
      <c r="X88" s="1044"/>
      <c r="Y88" s="1045"/>
      <c r="Z88" s="1028"/>
      <c r="AA88" s="996"/>
    </row>
    <row r="89" spans="1:29" ht="16.5" customHeight="1" thickBot="1">
      <c r="A89" s="997"/>
      <c r="B89" s="1013"/>
      <c r="C89" s="1017"/>
      <c r="D89" s="1020"/>
      <c r="E89" s="159" t="s">
        <v>285</v>
      </c>
      <c r="F89" s="200" t="s">
        <v>286</v>
      </c>
      <c r="G89" s="159" t="s">
        <v>285</v>
      </c>
      <c r="H89" s="200" t="s">
        <v>286</v>
      </c>
      <c r="I89" s="159" t="s">
        <v>285</v>
      </c>
      <c r="J89" s="200" t="s">
        <v>286</v>
      </c>
      <c r="K89" s="217" t="s">
        <v>285</v>
      </c>
      <c r="L89" s="218" t="s">
        <v>286</v>
      </c>
      <c r="M89" s="159" t="s">
        <v>285</v>
      </c>
      <c r="N89" s="200" t="s">
        <v>286</v>
      </c>
      <c r="O89" s="217" t="s">
        <v>285</v>
      </c>
      <c r="P89" s="225" t="s">
        <v>286</v>
      </c>
      <c r="Q89" s="88" t="s">
        <v>321</v>
      </c>
      <c r="R89" s="89" t="s">
        <v>322</v>
      </c>
      <c r="S89" s="201" t="s">
        <v>270</v>
      </c>
      <c r="T89" s="88" t="s">
        <v>321</v>
      </c>
      <c r="U89" s="89" t="s">
        <v>322</v>
      </c>
      <c r="V89" s="201" t="s">
        <v>270</v>
      </c>
      <c r="W89" s="88" t="s">
        <v>321</v>
      </c>
      <c r="X89" s="89" t="s">
        <v>322</v>
      </c>
      <c r="Y89" s="201" t="s">
        <v>270</v>
      </c>
      <c r="Z89" s="1029"/>
      <c r="AA89" s="996"/>
    </row>
    <row r="90" spans="1:29" s="91" customFormat="1" ht="17.25" customHeight="1">
      <c r="A90" s="997"/>
      <c r="B90" s="116">
        <f>IF(C90&lt;AC85,1,0)</f>
        <v>1</v>
      </c>
      <c r="C90" s="117">
        <f>'Food-Data Entry'!L7</f>
        <v>44896</v>
      </c>
      <c r="D90" s="118" t="str">
        <f>'Food-Data Entry'!O7</f>
        <v>Thursday</v>
      </c>
      <c r="E90" s="198">
        <f>'Food Stock 1-8'!E8+'Food Stock 1-8'!E49</f>
        <v>60</v>
      </c>
      <c r="F90" s="199">
        <f>'Food Stock 1-8'!F8+'Food Stock 1-8'!F49</f>
        <v>100</v>
      </c>
      <c r="G90" s="198">
        <f>'Food Stock 1-8'!G8+'Food Stock 1-8'!G49</f>
        <v>0</v>
      </c>
      <c r="H90" s="199">
        <f>'Food Stock 1-8'!H8+'Food Stock 1-8'!H49</f>
        <v>0</v>
      </c>
      <c r="I90" s="198">
        <f>'Food Stock 1-8'!I8+'Food Stock 1-8'!I49</f>
        <v>0</v>
      </c>
      <c r="J90" s="199">
        <f>'Food Stock 1-8'!J8+'Food Stock 1-8'!J49</f>
        <v>0</v>
      </c>
      <c r="K90" s="219">
        <f>'Food Stock 1-8'!K8+'Food Stock 1-8'!K49</f>
        <v>60</v>
      </c>
      <c r="L90" s="220">
        <f>'Food Stock 1-8'!L8+'Food Stock 1-8'!L49</f>
        <v>100</v>
      </c>
      <c r="M90" s="198">
        <f>'Food Stock 1-8'!M8+'Food Stock 1-8'!M49</f>
        <v>0</v>
      </c>
      <c r="N90" s="199">
        <f>'Food Stock 1-8'!N8+'Food Stock 1-8'!N49</f>
        <v>0</v>
      </c>
      <c r="O90" s="219">
        <f>'Food Stock 1-8'!O8+'Food Stock 1-8'!O49</f>
        <v>60</v>
      </c>
      <c r="P90" s="226">
        <f>'Food Stock 1-8'!P8+'Food Stock 1-8'!P49</f>
        <v>100</v>
      </c>
      <c r="Q90" s="230">
        <f>'Food Stock 1-8'!Q8+'Food Stock 1-8'!Q49</f>
        <v>80</v>
      </c>
      <c r="R90" s="231">
        <f>'Food Stock 1-8'!R8+'Food Stock 1-8'!R49</f>
        <v>258</v>
      </c>
      <c r="S90" s="233">
        <f>'Food Stock 1-8'!S8+'Food Stock 1-8'!S49</f>
        <v>338</v>
      </c>
      <c r="T90" s="230">
        <f>'Food Stock 1-8'!T8+'Food Stock 1-8'!T49</f>
        <v>0</v>
      </c>
      <c r="U90" s="232">
        <f>'Food Stock 1-8'!U8+'Food Stock 1-8'!U49</f>
        <v>0</v>
      </c>
      <c r="V90" s="233">
        <f>'Food Stock 1-8'!V8+'Food Stock 1-8'!V49</f>
        <v>0</v>
      </c>
      <c r="W90" s="230">
        <f>'Food Stock 1-8'!W8+'Food Stock 1-8'!W49</f>
        <v>0</v>
      </c>
      <c r="X90" s="232">
        <f>'Food Stock 1-8'!X8+'Food Stock 1-8'!X49</f>
        <v>0</v>
      </c>
      <c r="Y90" s="233">
        <f>'Food Stock 1-8'!Y8+'Food Stock 1-8'!Y49</f>
        <v>0</v>
      </c>
      <c r="Z90" s="119"/>
      <c r="AA90" s="996"/>
      <c r="AB90" s="90" t="e">
        <f>#REF!+#REF!+#REF!+#REF!</f>
        <v>#REF!</v>
      </c>
    </row>
    <row r="91" spans="1:29" s="91" customFormat="1" ht="17.25" customHeight="1">
      <c r="A91" s="997"/>
      <c r="B91" s="116">
        <f t="shared" ref="B91:B120" si="22">IF(C91&lt;=$AC$85,B90+1,0)</f>
        <v>2</v>
      </c>
      <c r="C91" s="117">
        <f>'Food-Data Entry'!L8</f>
        <v>44897</v>
      </c>
      <c r="D91" s="118" t="str">
        <f>'Food-Data Entry'!O8</f>
        <v>Friday</v>
      </c>
      <c r="E91" s="140">
        <f>'Food Stock 1-8'!E9+'Food Stock 1-8'!E50</f>
        <v>60</v>
      </c>
      <c r="F91" s="141">
        <f>'Food Stock 1-8'!F9+'Food Stock 1-8'!F50</f>
        <v>100</v>
      </c>
      <c r="G91" s="140">
        <f>'Food Stock 1-8'!G9+'Food Stock 1-8'!G50</f>
        <v>0</v>
      </c>
      <c r="H91" s="141">
        <f>'Food Stock 1-8'!H9+'Food Stock 1-8'!H50</f>
        <v>0</v>
      </c>
      <c r="I91" s="140">
        <f>'Food Stock 1-8'!I9+'Food Stock 1-8'!I50</f>
        <v>0</v>
      </c>
      <c r="J91" s="141">
        <f>'Food Stock 1-8'!J9+'Food Stock 1-8'!J50</f>
        <v>0</v>
      </c>
      <c r="K91" s="221">
        <f>'Food Stock 1-8'!K9+'Food Stock 1-8'!K50</f>
        <v>60</v>
      </c>
      <c r="L91" s="222">
        <f>'Food Stock 1-8'!L9+'Food Stock 1-8'!L50</f>
        <v>100</v>
      </c>
      <c r="M91" s="140">
        <f>'Food Stock 1-8'!M9+'Food Stock 1-8'!M50</f>
        <v>0</v>
      </c>
      <c r="N91" s="141">
        <f>'Food Stock 1-8'!N9+'Food Stock 1-8'!N50</f>
        <v>0</v>
      </c>
      <c r="O91" s="221">
        <f>'Food Stock 1-8'!O9+'Food Stock 1-8'!O50</f>
        <v>60</v>
      </c>
      <c r="P91" s="227">
        <f>'Food Stock 1-8'!P9+'Food Stock 1-8'!P50</f>
        <v>100</v>
      </c>
      <c r="Q91" s="234">
        <f>'Food Stock 1-8'!Q9+'Food Stock 1-8'!Q50</f>
        <v>80</v>
      </c>
      <c r="R91" s="235">
        <f>'Food Stock 1-8'!R9+'Food Stock 1-8'!R50</f>
        <v>258</v>
      </c>
      <c r="S91" s="238">
        <f>'Food Stock 1-8'!S9+'Food Stock 1-8'!S50</f>
        <v>338</v>
      </c>
      <c r="T91" s="234">
        <f>'Food Stock 1-8'!T9+'Food Stock 1-8'!T50</f>
        <v>0</v>
      </c>
      <c r="U91" s="235">
        <f>'Food Stock 1-8'!U9+'Food Stock 1-8'!U50</f>
        <v>0</v>
      </c>
      <c r="V91" s="238">
        <f>'Food Stock 1-8'!V9+'Food Stock 1-8'!V50</f>
        <v>0</v>
      </c>
      <c r="W91" s="234">
        <f>'Food Stock 1-8'!W9+'Food Stock 1-8'!W50</f>
        <v>0</v>
      </c>
      <c r="X91" s="235">
        <f>'Food Stock 1-8'!X9+'Food Stock 1-8'!X50</f>
        <v>0</v>
      </c>
      <c r="Y91" s="238">
        <f>'Food Stock 1-8'!Y9+'Food Stock 1-8'!Y50</f>
        <v>0</v>
      </c>
      <c r="Z91" s="120"/>
      <c r="AA91" s="996"/>
      <c r="AB91" s="90" t="e">
        <f>#REF!+#REF!+#REF!+#REF!</f>
        <v>#REF!</v>
      </c>
    </row>
    <row r="92" spans="1:29" s="91" customFormat="1" ht="17.25" customHeight="1">
      <c r="A92" s="997"/>
      <c r="B92" s="116">
        <f t="shared" si="22"/>
        <v>3</v>
      </c>
      <c r="C92" s="117">
        <f>'Food-Data Entry'!L9</f>
        <v>44898</v>
      </c>
      <c r="D92" s="118" t="str">
        <f>'Food-Data Entry'!O9</f>
        <v>Saturday</v>
      </c>
      <c r="E92" s="140">
        <f>'Food Stock 1-8'!E10+'Food Stock 1-8'!E51</f>
        <v>60</v>
      </c>
      <c r="F92" s="141">
        <f>'Food Stock 1-8'!F10+'Food Stock 1-8'!F51</f>
        <v>100</v>
      </c>
      <c r="G92" s="140">
        <f>'Food Stock 1-8'!G10+'Food Stock 1-8'!G51</f>
        <v>0</v>
      </c>
      <c r="H92" s="141">
        <f>'Food Stock 1-8'!H10+'Food Stock 1-8'!H51</f>
        <v>0</v>
      </c>
      <c r="I92" s="140">
        <f>'Food Stock 1-8'!I10+'Food Stock 1-8'!I51</f>
        <v>0</v>
      </c>
      <c r="J92" s="141">
        <f>'Food Stock 1-8'!J10+'Food Stock 1-8'!J51</f>
        <v>0</v>
      </c>
      <c r="K92" s="221">
        <f>'Food Stock 1-8'!K10+'Food Stock 1-8'!K51</f>
        <v>60</v>
      </c>
      <c r="L92" s="222">
        <f>'Food Stock 1-8'!L10+'Food Stock 1-8'!L51</f>
        <v>100</v>
      </c>
      <c r="M92" s="140">
        <f>'Food Stock 1-8'!M10+'Food Stock 1-8'!M51</f>
        <v>0</v>
      </c>
      <c r="N92" s="141">
        <f>'Food Stock 1-8'!N10+'Food Stock 1-8'!N51</f>
        <v>0</v>
      </c>
      <c r="O92" s="221">
        <f>'Food Stock 1-8'!O10+'Food Stock 1-8'!O51</f>
        <v>60</v>
      </c>
      <c r="P92" s="227">
        <f>'Food Stock 1-8'!P10+'Food Stock 1-8'!P51</f>
        <v>100</v>
      </c>
      <c r="Q92" s="234">
        <f>'Food Stock 1-8'!Q10+'Food Stock 1-8'!Q51</f>
        <v>80</v>
      </c>
      <c r="R92" s="235">
        <f>'Food Stock 1-8'!R10+'Food Stock 1-8'!R51</f>
        <v>258</v>
      </c>
      <c r="S92" s="238">
        <f>'Food Stock 1-8'!S10+'Food Stock 1-8'!S51</f>
        <v>338</v>
      </c>
      <c r="T92" s="234">
        <f>'Food Stock 1-8'!T10+'Food Stock 1-8'!T51</f>
        <v>0</v>
      </c>
      <c r="U92" s="235">
        <f>'Food Stock 1-8'!U10+'Food Stock 1-8'!U51</f>
        <v>0</v>
      </c>
      <c r="V92" s="238">
        <f>'Food Stock 1-8'!V10+'Food Stock 1-8'!V51</f>
        <v>0</v>
      </c>
      <c r="W92" s="234">
        <f>'Food Stock 1-8'!W10+'Food Stock 1-8'!W51</f>
        <v>0</v>
      </c>
      <c r="X92" s="235">
        <f>'Food Stock 1-8'!X10+'Food Stock 1-8'!X51</f>
        <v>0</v>
      </c>
      <c r="Y92" s="238">
        <f>'Food Stock 1-8'!Y10+'Food Stock 1-8'!Y51</f>
        <v>0</v>
      </c>
      <c r="Z92" s="120"/>
      <c r="AA92" s="996"/>
      <c r="AB92" s="90" t="e">
        <f>#REF!+#REF!+#REF!+#REF!</f>
        <v>#REF!</v>
      </c>
    </row>
    <row r="93" spans="1:29" s="91" customFormat="1" ht="17.25" customHeight="1">
      <c r="A93" s="997"/>
      <c r="B93" s="116">
        <f t="shared" si="22"/>
        <v>4</v>
      </c>
      <c r="C93" s="117">
        <f>'Food-Data Entry'!L10</f>
        <v>44899</v>
      </c>
      <c r="D93" s="118" t="str">
        <f>'Food-Data Entry'!O10</f>
        <v>Holiday</v>
      </c>
      <c r="E93" s="140">
        <f>'Food Stock 1-8'!E11+'Food Stock 1-8'!E52</f>
        <v>60</v>
      </c>
      <c r="F93" s="141">
        <f>'Food Stock 1-8'!F11+'Food Stock 1-8'!F52</f>
        <v>100</v>
      </c>
      <c r="G93" s="140">
        <f>'Food Stock 1-8'!G11+'Food Stock 1-8'!G52</f>
        <v>0</v>
      </c>
      <c r="H93" s="141">
        <f>'Food Stock 1-8'!H11+'Food Stock 1-8'!H52</f>
        <v>0</v>
      </c>
      <c r="I93" s="140">
        <f>'Food Stock 1-8'!I11+'Food Stock 1-8'!I52</f>
        <v>0</v>
      </c>
      <c r="J93" s="141">
        <f>'Food Stock 1-8'!J11+'Food Stock 1-8'!J52</f>
        <v>0</v>
      </c>
      <c r="K93" s="221">
        <f>'Food Stock 1-8'!K11+'Food Stock 1-8'!K52</f>
        <v>60</v>
      </c>
      <c r="L93" s="222">
        <f>'Food Stock 1-8'!L11+'Food Stock 1-8'!L52</f>
        <v>100</v>
      </c>
      <c r="M93" s="140">
        <f>'Food Stock 1-8'!M11+'Food Stock 1-8'!M52</f>
        <v>0</v>
      </c>
      <c r="N93" s="141">
        <f>'Food Stock 1-8'!N11+'Food Stock 1-8'!N52</f>
        <v>0</v>
      </c>
      <c r="O93" s="221">
        <f>'Food Stock 1-8'!O11+'Food Stock 1-8'!O52</f>
        <v>60</v>
      </c>
      <c r="P93" s="227">
        <f>'Food Stock 1-8'!P11+'Food Stock 1-8'!P52</f>
        <v>100</v>
      </c>
      <c r="Q93" s="234">
        <f>'Food Stock 1-8'!Q11+'Food Stock 1-8'!Q52</f>
        <v>80</v>
      </c>
      <c r="R93" s="235">
        <f>'Food Stock 1-8'!R11+'Food Stock 1-8'!R52</f>
        <v>258</v>
      </c>
      <c r="S93" s="238">
        <f>'Food Stock 1-8'!S11+'Food Stock 1-8'!S52</f>
        <v>338</v>
      </c>
      <c r="T93" s="234">
        <f>'Food Stock 1-8'!T11+'Food Stock 1-8'!T52</f>
        <v>0</v>
      </c>
      <c r="U93" s="235">
        <f>'Food Stock 1-8'!U11+'Food Stock 1-8'!U52</f>
        <v>0</v>
      </c>
      <c r="V93" s="238">
        <f>'Food Stock 1-8'!V11+'Food Stock 1-8'!V52</f>
        <v>0</v>
      </c>
      <c r="W93" s="234">
        <f>'Food Stock 1-8'!W11+'Food Stock 1-8'!W52</f>
        <v>0</v>
      </c>
      <c r="X93" s="235">
        <f>'Food Stock 1-8'!X11+'Food Stock 1-8'!X52</f>
        <v>0</v>
      </c>
      <c r="Y93" s="238">
        <f>'Food Stock 1-8'!Y11+'Food Stock 1-8'!Y52</f>
        <v>0</v>
      </c>
      <c r="Z93" s="120"/>
      <c r="AA93" s="996"/>
      <c r="AB93" s="90" t="e">
        <f>#REF!+#REF!+#REF!+#REF!</f>
        <v>#REF!</v>
      </c>
    </row>
    <row r="94" spans="1:29" s="91" customFormat="1" ht="17.25" customHeight="1">
      <c r="A94" s="997"/>
      <c r="B94" s="116">
        <f t="shared" si="22"/>
        <v>5</v>
      </c>
      <c r="C94" s="117">
        <f>'Food-Data Entry'!L11</f>
        <v>44900</v>
      </c>
      <c r="D94" s="118" t="str">
        <f>'Food-Data Entry'!O11</f>
        <v>Monday</v>
      </c>
      <c r="E94" s="140">
        <f>'Food Stock 1-8'!E12+'Food Stock 1-8'!E53</f>
        <v>60</v>
      </c>
      <c r="F94" s="141">
        <f>'Food Stock 1-8'!F12+'Food Stock 1-8'!F53</f>
        <v>100</v>
      </c>
      <c r="G94" s="140">
        <f>'Food Stock 1-8'!G12+'Food Stock 1-8'!G53</f>
        <v>0</v>
      </c>
      <c r="H94" s="141">
        <f>'Food Stock 1-8'!H12+'Food Stock 1-8'!H53</f>
        <v>0</v>
      </c>
      <c r="I94" s="140">
        <f>'Food Stock 1-8'!I12+'Food Stock 1-8'!I53</f>
        <v>0</v>
      </c>
      <c r="J94" s="141">
        <f>'Food Stock 1-8'!J12+'Food Stock 1-8'!J53</f>
        <v>0</v>
      </c>
      <c r="K94" s="221">
        <f>'Food Stock 1-8'!K12+'Food Stock 1-8'!K53</f>
        <v>60</v>
      </c>
      <c r="L94" s="222">
        <f>'Food Stock 1-8'!L12+'Food Stock 1-8'!L53</f>
        <v>100</v>
      </c>
      <c r="M94" s="140">
        <f>'Food Stock 1-8'!M12+'Food Stock 1-8'!M53</f>
        <v>0</v>
      </c>
      <c r="N94" s="141">
        <f>'Food Stock 1-8'!N12+'Food Stock 1-8'!N53</f>
        <v>0</v>
      </c>
      <c r="O94" s="221">
        <f>'Food Stock 1-8'!O12+'Food Stock 1-8'!O53</f>
        <v>60</v>
      </c>
      <c r="P94" s="227">
        <f>'Food Stock 1-8'!P12+'Food Stock 1-8'!P53</f>
        <v>100</v>
      </c>
      <c r="Q94" s="234">
        <f>'Food Stock 1-8'!Q12+'Food Stock 1-8'!Q53</f>
        <v>80</v>
      </c>
      <c r="R94" s="235">
        <f>'Food Stock 1-8'!R12+'Food Stock 1-8'!R53</f>
        <v>258</v>
      </c>
      <c r="S94" s="238">
        <f>'Food Stock 1-8'!S12+'Food Stock 1-8'!S53</f>
        <v>338</v>
      </c>
      <c r="T94" s="234">
        <f>'Food Stock 1-8'!T12+'Food Stock 1-8'!T53</f>
        <v>0</v>
      </c>
      <c r="U94" s="235">
        <f>'Food Stock 1-8'!U12+'Food Stock 1-8'!U53</f>
        <v>0</v>
      </c>
      <c r="V94" s="238">
        <f>'Food Stock 1-8'!V12+'Food Stock 1-8'!V53</f>
        <v>0</v>
      </c>
      <c r="W94" s="234">
        <f>'Food Stock 1-8'!W12+'Food Stock 1-8'!W53</f>
        <v>0</v>
      </c>
      <c r="X94" s="235">
        <f>'Food Stock 1-8'!X12+'Food Stock 1-8'!X53</f>
        <v>0</v>
      </c>
      <c r="Y94" s="238">
        <f>'Food Stock 1-8'!Y12+'Food Stock 1-8'!Y53</f>
        <v>0</v>
      </c>
      <c r="Z94" s="120"/>
      <c r="AA94" s="996"/>
      <c r="AB94" s="90" t="e">
        <f>#REF!+#REF!+#REF!+#REF!</f>
        <v>#REF!</v>
      </c>
    </row>
    <row r="95" spans="1:29" s="91" customFormat="1" ht="17.25" customHeight="1">
      <c r="A95" s="997"/>
      <c r="B95" s="116">
        <f t="shared" si="22"/>
        <v>6</v>
      </c>
      <c r="C95" s="117">
        <f>'Food-Data Entry'!L12</f>
        <v>44901</v>
      </c>
      <c r="D95" s="118" t="str">
        <f>'Food-Data Entry'!O12</f>
        <v>Tuesday</v>
      </c>
      <c r="E95" s="140">
        <f>'Food Stock 1-8'!E13+'Food Stock 1-8'!E54</f>
        <v>60</v>
      </c>
      <c r="F95" s="141">
        <f>'Food Stock 1-8'!F13+'Food Stock 1-8'!F54</f>
        <v>100</v>
      </c>
      <c r="G95" s="140">
        <f>'Food Stock 1-8'!G13+'Food Stock 1-8'!G54</f>
        <v>0</v>
      </c>
      <c r="H95" s="141">
        <f>'Food Stock 1-8'!H13+'Food Stock 1-8'!H54</f>
        <v>0</v>
      </c>
      <c r="I95" s="140">
        <f>'Food Stock 1-8'!I13+'Food Stock 1-8'!I54</f>
        <v>0</v>
      </c>
      <c r="J95" s="141">
        <f>'Food Stock 1-8'!J13+'Food Stock 1-8'!J54</f>
        <v>0</v>
      </c>
      <c r="K95" s="221">
        <f>'Food Stock 1-8'!K13+'Food Stock 1-8'!K54</f>
        <v>60</v>
      </c>
      <c r="L95" s="222">
        <f>'Food Stock 1-8'!L13+'Food Stock 1-8'!L54</f>
        <v>100</v>
      </c>
      <c r="M95" s="140">
        <f>'Food Stock 1-8'!M13+'Food Stock 1-8'!M54</f>
        <v>0</v>
      </c>
      <c r="N95" s="141">
        <f>'Food Stock 1-8'!N13+'Food Stock 1-8'!N54</f>
        <v>0</v>
      </c>
      <c r="O95" s="221">
        <f>'Food Stock 1-8'!O13+'Food Stock 1-8'!O54</f>
        <v>60</v>
      </c>
      <c r="P95" s="227">
        <f>'Food Stock 1-8'!P13+'Food Stock 1-8'!P54</f>
        <v>100</v>
      </c>
      <c r="Q95" s="234">
        <f>'Food Stock 1-8'!Q13+'Food Stock 1-8'!Q54</f>
        <v>80</v>
      </c>
      <c r="R95" s="235">
        <f>'Food Stock 1-8'!R13+'Food Stock 1-8'!R54</f>
        <v>258</v>
      </c>
      <c r="S95" s="238">
        <f>'Food Stock 1-8'!S13+'Food Stock 1-8'!S54</f>
        <v>338</v>
      </c>
      <c r="T95" s="234">
        <f>'Food Stock 1-8'!T13+'Food Stock 1-8'!T54</f>
        <v>0</v>
      </c>
      <c r="U95" s="235">
        <f>'Food Stock 1-8'!U13+'Food Stock 1-8'!U54</f>
        <v>0</v>
      </c>
      <c r="V95" s="238">
        <f>'Food Stock 1-8'!V13+'Food Stock 1-8'!V54</f>
        <v>0</v>
      </c>
      <c r="W95" s="234">
        <f>'Food Stock 1-8'!W13+'Food Stock 1-8'!W54</f>
        <v>0</v>
      </c>
      <c r="X95" s="235">
        <f>'Food Stock 1-8'!X13+'Food Stock 1-8'!X54</f>
        <v>0</v>
      </c>
      <c r="Y95" s="238">
        <f>'Food Stock 1-8'!Y13+'Food Stock 1-8'!Y54</f>
        <v>0</v>
      </c>
      <c r="Z95" s="120"/>
      <c r="AA95" s="996"/>
      <c r="AB95" s="90" t="e">
        <f>#REF!+#REF!+#REF!+#REF!</f>
        <v>#REF!</v>
      </c>
    </row>
    <row r="96" spans="1:29" s="91" customFormat="1" ht="17.25" customHeight="1">
      <c r="A96" s="997"/>
      <c r="B96" s="116">
        <f t="shared" si="22"/>
        <v>7</v>
      </c>
      <c r="C96" s="117">
        <f>'Food-Data Entry'!L13</f>
        <v>44902</v>
      </c>
      <c r="D96" s="118" t="str">
        <f>'Food-Data Entry'!O13</f>
        <v>Wednesday</v>
      </c>
      <c r="E96" s="140">
        <f>'Food Stock 1-8'!E14+'Food Stock 1-8'!E55</f>
        <v>60</v>
      </c>
      <c r="F96" s="141">
        <f>'Food Stock 1-8'!F14+'Food Stock 1-8'!F55</f>
        <v>100</v>
      </c>
      <c r="G96" s="140">
        <f>'Food Stock 1-8'!G14+'Food Stock 1-8'!G55</f>
        <v>0</v>
      </c>
      <c r="H96" s="141">
        <f>'Food Stock 1-8'!H14+'Food Stock 1-8'!H55</f>
        <v>0</v>
      </c>
      <c r="I96" s="140">
        <f>'Food Stock 1-8'!I14+'Food Stock 1-8'!I55</f>
        <v>0</v>
      </c>
      <c r="J96" s="141">
        <f>'Food Stock 1-8'!J14+'Food Stock 1-8'!J55</f>
        <v>0</v>
      </c>
      <c r="K96" s="221">
        <f>'Food Stock 1-8'!K14+'Food Stock 1-8'!K55</f>
        <v>60</v>
      </c>
      <c r="L96" s="222">
        <f>'Food Stock 1-8'!L14+'Food Stock 1-8'!L55</f>
        <v>100</v>
      </c>
      <c r="M96" s="140">
        <f>'Food Stock 1-8'!M14+'Food Stock 1-8'!M55</f>
        <v>0</v>
      </c>
      <c r="N96" s="141">
        <f>'Food Stock 1-8'!N14+'Food Stock 1-8'!N55</f>
        <v>0</v>
      </c>
      <c r="O96" s="221">
        <f>'Food Stock 1-8'!O14+'Food Stock 1-8'!O55</f>
        <v>60</v>
      </c>
      <c r="P96" s="227">
        <f>'Food Stock 1-8'!P14+'Food Stock 1-8'!P55</f>
        <v>100</v>
      </c>
      <c r="Q96" s="234">
        <f>'Food Stock 1-8'!Q14+'Food Stock 1-8'!Q55</f>
        <v>80</v>
      </c>
      <c r="R96" s="235">
        <f>'Food Stock 1-8'!R14+'Food Stock 1-8'!R55</f>
        <v>258</v>
      </c>
      <c r="S96" s="238">
        <f>'Food Stock 1-8'!S14+'Food Stock 1-8'!S55</f>
        <v>338</v>
      </c>
      <c r="T96" s="234">
        <f>'Food Stock 1-8'!T14+'Food Stock 1-8'!T55</f>
        <v>0</v>
      </c>
      <c r="U96" s="235">
        <f>'Food Stock 1-8'!U14+'Food Stock 1-8'!U55</f>
        <v>0</v>
      </c>
      <c r="V96" s="238">
        <f>'Food Stock 1-8'!V14+'Food Stock 1-8'!V55</f>
        <v>0</v>
      </c>
      <c r="W96" s="234">
        <f>'Food Stock 1-8'!W14+'Food Stock 1-8'!W55</f>
        <v>0</v>
      </c>
      <c r="X96" s="235">
        <f>'Food Stock 1-8'!X14+'Food Stock 1-8'!X55</f>
        <v>0</v>
      </c>
      <c r="Y96" s="238">
        <f>'Food Stock 1-8'!Y14+'Food Stock 1-8'!Y55</f>
        <v>0</v>
      </c>
      <c r="Z96" s="120"/>
      <c r="AA96" s="996"/>
      <c r="AB96" s="90" t="e">
        <f>#REF!+#REF!+#REF!+#REF!</f>
        <v>#REF!</v>
      </c>
    </row>
    <row r="97" spans="1:28" s="91" customFormat="1" ht="17.25" customHeight="1">
      <c r="A97" s="997"/>
      <c r="B97" s="116">
        <f t="shared" si="22"/>
        <v>8</v>
      </c>
      <c r="C97" s="117">
        <f>'Food-Data Entry'!L14</f>
        <v>44903</v>
      </c>
      <c r="D97" s="118" t="str">
        <f>'Food-Data Entry'!O14</f>
        <v>Thursday</v>
      </c>
      <c r="E97" s="140">
        <f>'Food Stock 1-8'!E15+'Food Stock 1-8'!E56</f>
        <v>60</v>
      </c>
      <c r="F97" s="141">
        <f>'Food Stock 1-8'!F15+'Food Stock 1-8'!F56</f>
        <v>100</v>
      </c>
      <c r="G97" s="140">
        <f>'Food Stock 1-8'!G15+'Food Stock 1-8'!G56</f>
        <v>0</v>
      </c>
      <c r="H97" s="141">
        <f>'Food Stock 1-8'!H15+'Food Stock 1-8'!H56</f>
        <v>0</v>
      </c>
      <c r="I97" s="140">
        <f>'Food Stock 1-8'!I15+'Food Stock 1-8'!I56</f>
        <v>0</v>
      </c>
      <c r="J97" s="141">
        <f>'Food Stock 1-8'!J15+'Food Stock 1-8'!J56</f>
        <v>0</v>
      </c>
      <c r="K97" s="221">
        <f>'Food Stock 1-8'!K15+'Food Stock 1-8'!K56</f>
        <v>60</v>
      </c>
      <c r="L97" s="222">
        <f>'Food Stock 1-8'!L15+'Food Stock 1-8'!L56</f>
        <v>100</v>
      </c>
      <c r="M97" s="140">
        <f>'Food Stock 1-8'!M15+'Food Stock 1-8'!M56</f>
        <v>0</v>
      </c>
      <c r="N97" s="141">
        <f>'Food Stock 1-8'!N15+'Food Stock 1-8'!N56</f>
        <v>0</v>
      </c>
      <c r="O97" s="221">
        <f>'Food Stock 1-8'!O15+'Food Stock 1-8'!O56</f>
        <v>60</v>
      </c>
      <c r="P97" s="227">
        <f>'Food Stock 1-8'!P15+'Food Stock 1-8'!P56</f>
        <v>100</v>
      </c>
      <c r="Q97" s="234">
        <f>'Food Stock 1-8'!Q15+'Food Stock 1-8'!Q56</f>
        <v>80</v>
      </c>
      <c r="R97" s="235">
        <f>'Food Stock 1-8'!R15+'Food Stock 1-8'!R56</f>
        <v>258</v>
      </c>
      <c r="S97" s="238">
        <f>'Food Stock 1-8'!S15+'Food Stock 1-8'!S56</f>
        <v>338</v>
      </c>
      <c r="T97" s="234">
        <f>'Food Stock 1-8'!T15+'Food Stock 1-8'!T56</f>
        <v>0</v>
      </c>
      <c r="U97" s="235">
        <f>'Food Stock 1-8'!U15+'Food Stock 1-8'!U56</f>
        <v>0</v>
      </c>
      <c r="V97" s="238">
        <f>'Food Stock 1-8'!V15+'Food Stock 1-8'!V56</f>
        <v>0</v>
      </c>
      <c r="W97" s="234">
        <f>'Food Stock 1-8'!W15+'Food Stock 1-8'!W56</f>
        <v>0</v>
      </c>
      <c r="X97" s="235">
        <f>'Food Stock 1-8'!X15+'Food Stock 1-8'!X56</f>
        <v>0</v>
      </c>
      <c r="Y97" s="238">
        <f>'Food Stock 1-8'!Y15+'Food Stock 1-8'!Y56</f>
        <v>0</v>
      </c>
      <c r="Z97" s="120"/>
      <c r="AA97" s="996"/>
      <c r="AB97" s="90" t="e">
        <f>#REF!+#REF!+#REF!+#REF!</f>
        <v>#REF!</v>
      </c>
    </row>
    <row r="98" spans="1:28" s="91" customFormat="1" ht="17.25" customHeight="1">
      <c r="A98" s="997"/>
      <c r="B98" s="116">
        <f t="shared" si="22"/>
        <v>9</v>
      </c>
      <c r="C98" s="117">
        <f>'Food-Data Entry'!L15</f>
        <v>44904</v>
      </c>
      <c r="D98" s="118" t="str">
        <f>'Food-Data Entry'!O15</f>
        <v>Friday</v>
      </c>
      <c r="E98" s="140">
        <f>'Food Stock 1-8'!E16+'Food Stock 1-8'!E57</f>
        <v>60</v>
      </c>
      <c r="F98" s="141">
        <f>'Food Stock 1-8'!F16+'Food Stock 1-8'!F57</f>
        <v>100</v>
      </c>
      <c r="G98" s="140">
        <f>'Food Stock 1-8'!G16+'Food Stock 1-8'!G57</f>
        <v>0</v>
      </c>
      <c r="H98" s="141">
        <f>'Food Stock 1-8'!H16+'Food Stock 1-8'!H57</f>
        <v>0</v>
      </c>
      <c r="I98" s="140">
        <f>'Food Stock 1-8'!I16+'Food Stock 1-8'!I57</f>
        <v>0</v>
      </c>
      <c r="J98" s="141">
        <f>'Food Stock 1-8'!J16+'Food Stock 1-8'!J57</f>
        <v>0</v>
      </c>
      <c r="K98" s="221">
        <f>'Food Stock 1-8'!K16+'Food Stock 1-8'!K57</f>
        <v>60</v>
      </c>
      <c r="L98" s="222">
        <f>'Food Stock 1-8'!L16+'Food Stock 1-8'!L57</f>
        <v>100</v>
      </c>
      <c r="M98" s="140">
        <f>'Food Stock 1-8'!M16+'Food Stock 1-8'!M57</f>
        <v>0</v>
      </c>
      <c r="N98" s="141">
        <f>'Food Stock 1-8'!N16+'Food Stock 1-8'!N57</f>
        <v>0</v>
      </c>
      <c r="O98" s="221">
        <f>'Food Stock 1-8'!O16+'Food Stock 1-8'!O57</f>
        <v>60</v>
      </c>
      <c r="P98" s="227">
        <f>'Food Stock 1-8'!P16+'Food Stock 1-8'!P57</f>
        <v>100</v>
      </c>
      <c r="Q98" s="234">
        <f>'Food Stock 1-8'!Q16+'Food Stock 1-8'!Q57</f>
        <v>80</v>
      </c>
      <c r="R98" s="235">
        <f>'Food Stock 1-8'!R16+'Food Stock 1-8'!R57</f>
        <v>258</v>
      </c>
      <c r="S98" s="238">
        <f>'Food Stock 1-8'!S16+'Food Stock 1-8'!S57</f>
        <v>338</v>
      </c>
      <c r="T98" s="234">
        <f>'Food Stock 1-8'!T16+'Food Stock 1-8'!T57</f>
        <v>0</v>
      </c>
      <c r="U98" s="235">
        <f>'Food Stock 1-8'!U16+'Food Stock 1-8'!U57</f>
        <v>0</v>
      </c>
      <c r="V98" s="238">
        <f>'Food Stock 1-8'!V16+'Food Stock 1-8'!V57</f>
        <v>0</v>
      </c>
      <c r="W98" s="234">
        <f>'Food Stock 1-8'!W16+'Food Stock 1-8'!W57</f>
        <v>0</v>
      </c>
      <c r="X98" s="235">
        <f>'Food Stock 1-8'!X16+'Food Stock 1-8'!X57</f>
        <v>0</v>
      </c>
      <c r="Y98" s="238">
        <f>'Food Stock 1-8'!Y16+'Food Stock 1-8'!Y57</f>
        <v>0</v>
      </c>
      <c r="Z98" s="120"/>
      <c r="AA98" s="996"/>
      <c r="AB98" s="90" t="e">
        <f>#REF!+#REF!+#REF!+#REF!</f>
        <v>#REF!</v>
      </c>
    </row>
    <row r="99" spans="1:28" s="91" customFormat="1" ht="17.25" customHeight="1">
      <c r="A99" s="997"/>
      <c r="B99" s="116">
        <f t="shared" si="22"/>
        <v>10</v>
      </c>
      <c r="C99" s="117">
        <f>'Food-Data Entry'!L16</f>
        <v>44905</v>
      </c>
      <c r="D99" s="118" t="str">
        <f>'Food-Data Entry'!O16</f>
        <v>Saturday</v>
      </c>
      <c r="E99" s="140">
        <f>'Food Stock 1-8'!E17+'Food Stock 1-8'!E58</f>
        <v>60</v>
      </c>
      <c r="F99" s="141">
        <f>'Food Stock 1-8'!F17+'Food Stock 1-8'!F58</f>
        <v>100</v>
      </c>
      <c r="G99" s="140">
        <f>'Food Stock 1-8'!G17+'Food Stock 1-8'!G58</f>
        <v>0</v>
      </c>
      <c r="H99" s="141">
        <f>'Food Stock 1-8'!H17+'Food Stock 1-8'!H58</f>
        <v>0</v>
      </c>
      <c r="I99" s="140">
        <f>'Food Stock 1-8'!I17+'Food Stock 1-8'!I58</f>
        <v>0</v>
      </c>
      <c r="J99" s="141">
        <f>'Food Stock 1-8'!J17+'Food Stock 1-8'!J58</f>
        <v>0</v>
      </c>
      <c r="K99" s="221">
        <f>'Food Stock 1-8'!K17+'Food Stock 1-8'!K58</f>
        <v>60</v>
      </c>
      <c r="L99" s="222">
        <f>'Food Stock 1-8'!L17+'Food Stock 1-8'!L58</f>
        <v>100</v>
      </c>
      <c r="M99" s="140">
        <f>'Food Stock 1-8'!M17+'Food Stock 1-8'!M58</f>
        <v>0</v>
      </c>
      <c r="N99" s="141">
        <f>'Food Stock 1-8'!N17+'Food Stock 1-8'!N58</f>
        <v>0</v>
      </c>
      <c r="O99" s="221">
        <f>'Food Stock 1-8'!O17+'Food Stock 1-8'!O58</f>
        <v>60</v>
      </c>
      <c r="P99" s="227">
        <f>'Food Stock 1-8'!P17+'Food Stock 1-8'!P58</f>
        <v>100</v>
      </c>
      <c r="Q99" s="234">
        <f>'Food Stock 1-8'!Q17+'Food Stock 1-8'!Q58</f>
        <v>80</v>
      </c>
      <c r="R99" s="235">
        <f>'Food Stock 1-8'!R17+'Food Stock 1-8'!R58</f>
        <v>258</v>
      </c>
      <c r="S99" s="238">
        <f>'Food Stock 1-8'!S17+'Food Stock 1-8'!S58</f>
        <v>338</v>
      </c>
      <c r="T99" s="234">
        <f>'Food Stock 1-8'!T17+'Food Stock 1-8'!T58</f>
        <v>0</v>
      </c>
      <c r="U99" s="235">
        <f>'Food Stock 1-8'!U17+'Food Stock 1-8'!U58</f>
        <v>0</v>
      </c>
      <c r="V99" s="238">
        <f>'Food Stock 1-8'!V17+'Food Stock 1-8'!V58</f>
        <v>0</v>
      </c>
      <c r="W99" s="234">
        <f>'Food Stock 1-8'!W17+'Food Stock 1-8'!W58</f>
        <v>0</v>
      </c>
      <c r="X99" s="235">
        <f>'Food Stock 1-8'!X17+'Food Stock 1-8'!X58</f>
        <v>0</v>
      </c>
      <c r="Y99" s="238">
        <f>'Food Stock 1-8'!Y17+'Food Stock 1-8'!Y58</f>
        <v>0</v>
      </c>
      <c r="Z99" s="120"/>
      <c r="AA99" s="996"/>
      <c r="AB99" s="90" t="e">
        <f>#REF!+#REF!+#REF!+#REF!</f>
        <v>#REF!</v>
      </c>
    </row>
    <row r="100" spans="1:28" s="91" customFormat="1" ht="17.25" customHeight="1">
      <c r="A100" s="997"/>
      <c r="B100" s="116">
        <f t="shared" si="22"/>
        <v>11</v>
      </c>
      <c r="C100" s="117">
        <f>'Food-Data Entry'!L17</f>
        <v>44906</v>
      </c>
      <c r="D100" s="118" t="str">
        <f>'Food-Data Entry'!O17</f>
        <v>Holiday</v>
      </c>
      <c r="E100" s="140">
        <f>'Food Stock 1-8'!E18+'Food Stock 1-8'!E59</f>
        <v>60</v>
      </c>
      <c r="F100" s="141">
        <f>'Food Stock 1-8'!F18+'Food Stock 1-8'!F59</f>
        <v>100</v>
      </c>
      <c r="G100" s="140">
        <f>'Food Stock 1-8'!G18+'Food Stock 1-8'!G59</f>
        <v>0</v>
      </c>
      <c r="H100" s="141">
        <f>'Food Stock 1-8'!H18+'Food Stock 1-8'!H59</f>
        <v>0</v>
      </c>
      <c r="I100" s="140">
        <f>'Food Stock 1-8'!I18+'Food Stock 1-8'!I59</f>
        <v>0</v>
      </c>
      <c r="J100" s="141">
        <f>'Food Stock 1-8'!J18+'Food Stock 1-8'!J59</f>
        <v>0</v>
      </c>
      <c r="K100" s="221">
        <f>'Food Stock 1-8'!K18+'Food Stock 1-8'!K59</f>
        <v>60</v>
      </c>
      <c r="L100" s="222">
        <f>'Food Stock 1-8'!L18+'Food Stock 1-8'!L59</f>
        <v>100</v>
      </c>
      <c r="M100" s="140">
        <f>'Food Stock 1-8'!M18+'Food Stock 1-8'!M59</f>
        <v>0</v>
      </c>
      <c r="N100" s="141">
        <f>'Food Stock 1-8'!N18+'Food Stock 1-8'!N59</f>
        <v>0</v>
      </c>
      <c r="O100" s="221">
        <f>'Food Stock 1-8'!O18+'Food Stock 1-8'!O59</f>
        <v>60</v>
      </c>
      <c r="P100" s="227">
        <f>'Food Stock 1-8'!P18+'Food Stock 1-8'!P59</f>
        <v>100</v>
      </c>
      <c r="Q100" s="234">
        <f>'Food Stock 1-8'!Q18+'Food Stock 1-8'!Q59</f>
        <v>80</v>
      </c>
      <c r="R100" s="235">
        <f>'Food Stock 1-8'!R18+'Food Stock 1-8'!R59</f>
        <v>258</v>
      </c>
      <c r="S100" s="238">
        <f>'Food Stock 1-8'!S18+'Food Stock 1-8'!S59</f>
        <v>338</v>
      </c>
      <c r="T100" s="234">
        <f>'Food Stock 1-8'!T18+'Food Stock 1-8'!T59</f>
        <v>0</v>
      </c>
      <c r="U100" s="235">
        <f>'Food Stock 1-8'!U18+'Food Stock 1-8'!U59</f>
        <v>0</v>
      </c>
      <c r="V100" s="238">
        <f>'Food Stock 1-8'!V18+'Food Stock 1-8'!V59</f>
        <v>0</v>
      </c>
      <c r="W100" s="234">
        <f>'Food Stock 1-8'!W18+'Food Stock 1-8'!W59</f>
        <v>0</v>
      </c>
      <c r="X100" s="235">
        <f>'Food Stock 1-8'!X18+'Food Stock 1-8'!X59</f>
        <v>0</v>
      </c>
      <c r="Y100" s="238">
        <f>'Food Stock 1-8'!Y18+'Food Stock 1-8'!Y59</f>
        <v>0</v>
      </c>
      <c r="Z100" s="120"/>
      <c r="AA100" s="996"/>
      <c r="AB100" s="90" t="e">
        <f>#REF!+#REF!+#REF!+#REF!</f>
        <v>#REF!</v>
      </c>
    </row>
    <row r="101" spans="1:28" s="91" customFormat="1" ht="17.25" customHeight="1">
      <c r="A101" s="997"/>
      <c r="B101" s="116">
        <f t="shared" si="22"/>
        <v>12</v>
      </c>
      <c r="C101" s="117">
        <f>'Food-Data Entry'!L18</f>
        <v>44907</v>
      </c>
      <c r="D101" s="118" t="str">
        <f>'Food-Data Entry'!O18</f>
        <v>Monday</v>
      </c>
      <c r="E101" s="140">
        <f>'Food Stock 1-8'!E19+'Food Stock 1-8'!E60</f>
        <v>60</v>
      </c>
      <c r="F101" s="141">
        <f>'Food Stock 1-8'!F19+'Food Stock 1-8'!F60</f>
        <v>100</v>
      </c>
      <c r="G101" s="140">
        <f>'Food Stock 1-8'!G19+'Food Stock 1-8'!G60</f>
        <v>0</v>
      </c>
      <c r="H101" s="141">
        <f>'Food Stock 1-8'!H19+'Food Stock 1-8'!H60</f>
        <v>0</v>
      </c>
      <c r="I101" s="140">
        <f>'Food Stock 1-8'!I19+'Food Stock 1-8'!I60</f>
        <v>0</v>
      </c>
      <c r="J101" s="141">
        <f>'Food Stock 1-8'!J19+'Food Stock 1-8'!J60</f>
        <v>0</v>
      </c>
      <c r="K101" s="221">
        <f>'Food Stock 1-8'!K19+'Food Stock 1-8'!K60</f>
        <v>60</v>
      </c>
      <c r="L101" s="222">
        <f>'Food Stock 1-8'!L19+'Food Stock 1-8'!L60</f>
        <v>100</v>
      </c>
      <c r="M101" s="140">
        <f>'Food Stock 1-8'!M19+'Food Stock 1-8'!M60</f>
        <v>0</v>
      </c>
      <c r="N101" s="141">
        <f>'Food Stock 1-8'!N19+'Food Stock 1-8'!N60</f>
        <v>0</v>
      </c>
      <c r="O101" s="221">
        <f>'Food Stock 1-8'!O19+'Food Stock 1-8'!O60</f>
        <v>60</v>
      </c>
      <c r="P101" s="227">
        <f>'Food Stock 1-8'!P19+'Food Stock 1-8'!P60</f>
        <v>100</v>
      </c>
      <c r="Q101" s="234">
        <f>'Food Stock 1-8'!Q19+'Food Stock 1-8'!Q60</f>
        <v>80</v>
      </c>
      <c r="R101" s="235">
        <f>'Food Stock 1-8'!R19+'Food Stock 1-8'!R60</f>
        <v>258</v>
      </c>
      <c r="S101" s="238">
        <f>'Food Stock 1-8'!S19+'Food Stock 1-8'!S60</f>
        <v>338</v>
      </c>
      <c r="T101" s="234">
        <f>'Food Stock 1-8'!T19+'Food Stock 1-8'!T60</f>
        <v>0</v>
      </c>
      <c r="U101" s="235">
        <f>'Food Stock 1-8'!U19+'Food Stock 1-8'!U60</f>
        <v>0</v>
      </c>
      <c r="V101" s="238">
        <f>'Food Stock 1-8'!V19+'Food Stock 1-8'!V60</f>
        <v>0</v>
      </c>
      <c r="W101" s="234">
        <f>'Food Stock 1-8'!W19+'Food Stock 1-8'!W60</f>
        <v>0</v>
      </c>
      <c r="X101" s="235">
        <f>'Food Stock 1-8'!X19+'Food Stock 1-8'!X60</f>
        <v>0</v>
      </c>
      <c r="Y101" s="238">
        <f>'Food Stock 1-8'!Y19+'Food Stock 1-8'!Y60</f>
        <v>0</v>
      </c>
      <c r="Z101" s="120"/>
      <c r="AA101" s="996"/>
      <c r="AB101" s="90" t="e">
        <f>#REF!+#REF!+#REF!+#REF!</f>
        <v>#REF!</v>
      </c>
    </row>
    <row r="102" spans="1:28" s="91" customFormat="1" ht="17.25" customHeight="1">
      <c r="A102" s="997"/>
      <c r="B102" s="116">
        <f t="shared" si="22"/>
        <v>13</v>
      </c>
      <c r="C102" s="117">
        <f>'Food-Data Entry'!L19</f>
        <v>44908</v>
      </c>
      <c r="D102" s="118" t="str">
        <f>'Food-Data Entry'!O19</f>
        <v>Tuesday</v>
      </c>
      <c r="E102" s="140">
        <f>'Food Stock 1-8'!E20+'Food Stock 1-8'!E61</f>
        <v>60</v>
      </c>
      <c r="F102" s="141">
        <f>'Food Stock 1-8'!F20+'Food Stock 1-8'!F61</f>
        <v>100</v>
      </c>
      <c r="G102" s="140">
        <f>'Food Stock 1-8'!G20+'Food Stock 1-8'!G61</f>
        <v>0</v>
      </c>
      <c r="H102" s="141">
        <f>'Food Stock 1-8'!H20+'Food Stock 1-8'!H61</f>
        <v>0</v>
      </c>
      <c r="I102" s="140">
        <f>'Food Stock 1-8'!I20+'Food Stock 1-8'!I61</f>
        <v>0</v>
      </c>
      <c r="J102" s="141">
        <f>'Food Stock 1-8'!J20+'Food Stock 1-8'!J61</f>
        <v>0</v>
      </c>
      <c r="K102" s="221">
        <f>'Food Stock 1-8'!K20+'Food Stock 1-8'!K61</f>
        <v>60</v>
      </c>
      <c r="L102" s="222">
        <f>'Food Stock 1-8'!L20+'Food Stock 1-8'!L61</f>
        <v>100</v>
      </c>
      <c r="M102" s="140">
        <f>'Food Stock 1-8'!M20+'Food Stock 1-8'!M61</f>
        <v>0</v>
      </c>
      <c r="N102" s="141">
        <f>'Food Stock 1-8'!N20+'Food Stock 1-8'!N61</f>
        <v>0</v>
      </c>
      <c r="O102" s="221">
        <f>'Food Stock 1-8'!O20+'Food Stock 1-8'!O61</f>
        <v>60</v>
      </c>
      <c r="P102" s="227">
        <f>'Food Stock 1-8'!P20+'Food Stock 1-8'!P61</f>
        <v>100</v>
      </c>
      <c r="Q102" s="234">
        <f>'Food Stock 1-8'!Q20+'Food Stock 1-8'!Q61</f>
        <v>80</v>
      </c>
      <c r="R102" s="235">
        <f>'Food Stock 1-8'!R20+'Food Stock 1-8'!R61</f>
        <v>258</v>
      </c>
      <c r="S102" s="238">
        <f>'Food Stock 1-8'!S20+'Food Stock 1-8'!S61</f>
        <v>338</v>
      </c>
      <c r="T102" s="234">
        <f>'Food Stock 1-8'!T20+'Food Stock 1-8'!T61</f>
        <v>0</v>
      </c>
      <c r="U102" s="235">
        <f>'Food Stock 1-8'!U20+'Food Stock 1-8'!U61</f>
        <v>0</v>
      </c>
      <c r="V102" s="238">
        <f>'Food Stock 1-8'!V20+'Food Stock 1-8'!V61</f>
        <v>0</v>
      </c>
      <c r="W102" s="234">
        <f>'Food Stock 1-8'!W20+'Food Stock 1-8'!W61</f>
        <v>0</v>
      </c>
      <c r="X102" s="235">
        <f>'Food Stock 1-8'!X20+'Food Stock 1-8'!X61</f>
        <v>0</v>
      </c>
      <c r="Y102" s="238">
        <f>'Food Stock 1-8'!Y20+'Food Stock 1-8'!Y61</f>
        <v>0</v>
      </c>
      <c r="Z102" s="120"/>
      <c r="AA102" s="996"/>
      <c r="AB102" s="90" t="e">
        <f>#REF!+#REF!+#REF!+#REF!</f>
        <v>#REF!</v>
      </c>
    </row>
    <row r="103" spans="1:28" s="91" customFormat="1" ht="17.25" customHeight="1">
      <c r="A103" s="997"/>
      <c r="B103" s="116">
        <f t="shared" si="22"/>
        <v>14</v>
      </c>
      <c r="C103" s="117">
        <f>'Food-Data Entry'!L20</f>
        <v>44909</v>
      </c>
      <c r="D103" s="118" t="str">
        <f>'Food-Data Entry'!O20</f>
        <v>Wednesday</v>
      </c>
      <c r="E103" s="140">
        <f>'Food Stock 1-8'!E21+'Food Stock 1-8'!E62</f>
        <v>60</v>
      </c>
      <c r="F103" s="141">
        <f>'Food Stock 1-8'!F21+'Food Stock 1-8'!F62</f>
        <v>100</v>
      </c>
      <c r="G103" s="140">
        <f>'Food Stock 1-8'!G21+'Food Stock 1-8'!G62</f>
        <v>0</v>
      </c>
      <c r="H103" s="141">
        <f>'Food Stock 1-8'!H21+'Food Stock 1-8'!H62</f>
        <v>0</v>
      </c>
      <c r="I103" s="140">
        <f>'Food Stock 1-8'!I21+'Food Stock 1-8'!I62</f>
        <v>0</v>
      </c>
      <c r="J103" s="141">
        <f>'Food Stock 1-8'!J21+'Food Stock 1-8'!J62</f>
        <v>0</v>
      </c>
      <c r="K103" s="221">
        <f>'Food Stock 1-8'!K21+'Food Stock 1-8'!K62</f>
        <v>60</v>
      </c>
      <c r="L103" s="222">
        <f>'Food Stock 1-8'!L21+'Food Stock 1-8'!L62</f>
        <v>100</v>
      </c>
      <c r="M103" s="140">
        <f>'Food Stock 1-8'!M21+'Food Stock 1-8'!M62</f>
        <v>0</v>
      </c>
      <c r="N103" s="141">
        <f>'Food Stock 1-8'!N21+'Food Stock 1-8'!N62</f>
        <v>0</v>
      </c>
      <c r="O103" s="221">
        <f>'Food Stock 1-8'!O21+'Food Stock 1-8'!O62</f>
        <v>60</v>
      </c>
      <c r="P103" s="227">
        <f>'Food Stock 1-8'!P21+'Food Stock 1-8'!P62</f>
        <v>100</v>
      </c>
      <c r="Q103" s="234">
        <f>'Food Stock 1-8'!Q21+'Food Stock 1-8'!Q62</f>
        <v>80</v>
      </c>
      <c r="R103" s="235">
        <f>'Food Stock 1-8'!R21+'Food Stock 1-8'!R62</f>
        <v>258</v>
      </c>
      <c r="S103" s="238">
        <f>'Food Stock 1-8'!S21+'Food Stock 1-8'!S62</f>
        <v>338</v>
      </c>
      <c r="T103" s="234">
        <f>'Food Stock 1-8'!T21+'Food Stock 1-8'!T62</f>
        <v>0</v>
      </c>
      <c r="U103" s="235">
        <f>'Food Stock 1-8'!U21+'Food Stock 1-8'!U62</f>
        <v>0</v>
      </c>
      <c r="V103" s="238">
        <f>'Food Stock 1-8'!V21+'Food Stock 1-8'!V62</f>
        <v>0</v>
      </c>
      <c r="W103" s="234">
        <f>'Food Stock 1-8'!W21+'Food Stock 1-8'!W62</f>
        <v>0</v>
      </c>
      <c r="X103" s="235">
        <f>'Food Stock 1-8'!X21+'Food Stock 1-8'!X62</f>
        <v>0</v>
      </c>
      <c r="Y103" s="238">
        <f>'Food Stock 1-8'!Y21+'Food Stock 1-8'!Y62</f>
        <v>0</v>
      </c>
      <c r="Z103" s="120"/>
      <c r="AA103" s="996"/>
      <c r="AB103" s="90" t="e">
        <f>#REF!+#REF!+#REF!+#REF!</f>
        <v>#REF!</v>
      </c>
    </row>
    <row r="104" spans="1:28" s="91" customFormat="1" ht="17.25" customHeight="1">
      <c r="A104" s="997"/>
      <c r="B104" s="116">
        <f t="shared" si="22"/>
        <v>15</v>
      </c>
      <c r="C104" s="117">
        <f>'Food-Data Entry'!L21</f>
        <v>44910</v>
      </c>
      <c r="D104" s="118" t="str">
        <f>'Food-Data Entry'!O21</f>
        <v>Thursday</v>
      </c>
      <c r="E104" s="140">
        <f>'Food Stock 1-8'!E22+'Food Stock 1-8'!E63</f>
        <v>60</v>
      </c>
      <c r="F104" s="141">
        <f>'Food Stock 1-8'!F22+'Food Stock 1-8'!F63</f>
        <v>100</v>
      </c>
      <c r="G104" s="140">
        <f>'Food Stock 1-8'!G22+'Food Stock 1-8'!G63</f>
        <v>0</v>
      </c>
      <c r="H104" s="141">
        <f>'Food Stock 1-8'!H22+'Food Stock 1-8'!H63</f>
        <v>0</v>
      </c>
      <c r="I104" s="140">
        <f>'Food Stock 1-8'!I22+'Food Stock 1-8'!I63</f>
        <v>0</v>
      </c>
      <c r="J104" s="141">
        <f>'Food Stock 1-8'!J22+'Food Stock 1-8'!J63</f>
        <v>0</v>
      </c>
      <c r="K104" s="221">
        <f>'Food Stock 1-8'!K22+'Food Stock 1-8'!K63</f>
        <v>60</v>
      </c>
      <c r="L104" s="222">
        <f>'Food Stock 1-8'!L22+'Food Stock 1-8'!L63</f>
        <v>100</v>
      </c>
      <c r="M104" s="140">
        <f>'Food Stock 1-8'!M22+'Food Stock 1-8'!M63</f>
        <v>0</v>
      </c>
      <c r="N104" s="141">
        <f>'Food Stock 1-8'!N22+'Food Stock 1-8'!N63</f>
        <v>0</v>
      </c>
      <c r="O104" s="221">
        <f>'Food Stock 1-8'!O22+'Food Stock 1-8'!O63</f>
        <v>60</v>
      </c>
      <c r="P104" s="227">
        <f>'Food Stock 1-8'!P22+'Food Stock 1-8'!P63</f>
        <v>100</v>
      </c>
      <c r="Q104" s="234">
        <f>'Food Stock 1-8'!Q22+'Food Stock 1-8'!Q63</f>
        <v>80</v>
      </c>
      <c r="R104" s="235">
        <f>'Food Stock 1-8'!R22+'Food Stock 1-8'!R63</f>
        <v>258</v>
      </c>
      <c r="S104" s="238">
        <f>'Food Stock 1-8'!S22+'Food Stock 1-8'!S63</f>
        <v>338</v>
      </c>
      <c r="T104" s="234">
        <f>'Food Stock 1-8'!T22+'Food Stock 1-8'!T63</f>
        <v>0</v>
      </c>
      <c r="U104" s="235">
        <f>'Food Stock 1-8'!U22+'Food Stock 1-8'!U63</f>
        <v>0</v>
      </c>
      <c r="V104" s="238">
        <f>'Food Stock 1-8'!V22+'Food Stock 1-8'!V63</f>
        <v>0</v>
      </c>
      <c r="W104" s="234">
        <f>'Food Stock 1-8'!W22+'Food Stock 1-8'!W63</f>
        <v>0</v>
      </c>
      <c r="X104" s="235">
        <f>'Food Stock 1-8'!X22+'Food Stock 1-8'!X63</f>
        <v>0</v>
      </c>
      <c r="Y104" s="238">
        <f>'Food Stock 1-8'!Y22+'Food Stock 1-8'!Y63</f>
        <v>0</v>
      </c>
      <c r="Z104" s="120"/>
      <c r="AA104" s="996"/>
      <c r="AB104" s="90" t="e">
        <f>#REF!+#REF!+#REF!+#REF!</f>
        <v>#REF!</v>
      </c>
    </row>
    <row r="105" spans="1:28" s="91" customFormat="1" ht="17.25" customHeight="1">
      <c r="A105" s="997"/>
      <c r="B105" s="116">
        <f t="shared" si="22"/>
        <v>16</v>
      </c>
      <c r="C105" s="117">
        <f>'Food-Data Entry'!L22</f>
        <v>44911</v>
      </c>
      <c r="D105" s="118" t="str">
        <f>'Food-Data Entry'!O22</f>
        <v>Friday</v>
      </c>
      <c r="E105" s="140">
        <f>'Food Stock 1-8'!E23+'Food Stock 1-8'!E64</f>
        <v>60</v>
      </c>
      <c r="F105" s="141">
        <f>'Food Stock 1-8'!F23+'Food Stock 1-8'!F64</f>
        <v>100</v>
      </c>
      <c r="G105" s="140">
        <f>'Food Stock 1-8'!G23+'Food Stock 1-8'!G64</f>
        <v>0</v>
      </c>
      <c r="H105" s="141">
        <f>'Food Stock 1-8'!H23+'Food Stock 1-8'!H64</f>
        <v>0</v>
      </c>
      <c r="I105" s="140">
        <f>'Food Stock 1-8'!I23+'Food Stock 1-8'!I64</f>
        <v>0</v>
      </c>
      <c r="J105" s="141">
        <f>'Food Stock 1-8'!J23+'Food Stock 1-8'!J64</f>
        <v>0</v>
      </c>
      <c r="K105" s="221">
        <f>'Food Stock 1-8'!K23+'Food Stock 1-8'!K64</f>
        <v>60</v>
      </c>
      <c r="L105" s="222">
        <f>'Food Stock 1-8'!L23+'Food Stock 1-8'!L64</f>
        <v>100</v>
      </c>
      <c r="M105" s="140">
        <f>'Food Stock 1-8'!M23+'Food Stock 1-8'!M64</f>
        <v>0</v>
      </c>
      <c r="N105" s="141">
        <f>'Food Stock 1-8'!N23+'Food Stock 1-8'!N64</f>
        <v>0</v>
      </c>
      <c r="O105" s="221">
        <f>'Food Stock 1-8'!O23+'Food Stock 1-8'!O64</f>
        <v>60</v>
      </c>
      <c r="P105" s="227">
        <f>'Food Stock 1-8'!P23+'Food Stock 1-8'!P64</f>
        <v>100</v>
      </c>
      <c r="Q105" s="234">
        <f>'Food Stock 1-8'!Q23+'Food Stock 1-8'!Q64</f>
        <v>80</v>
      </c>
      <c r="R105" s="235">
        <f>'Food Stock 1-8'!R23+'Food Stock 1-8'!R64</f>
        <v>258</v>
      </c>
      <c r="S105" s="238">
        <f>'Food Stock 1-8'!S23+'Food Stock 1-8'!S64</f>
        <v>338</v>
      </c>
      <c r="T105" s="234">
        <f>'Food Stock 1-8'!T23+'Food Stock 1-8'!T64</f>
        <v>0</v>
      </c>
      <c r="U105" s="235">
        <f>'Food Stock 1-8'!U23+'Food Stock 1-8'!U64</f>
        <v>0</v>
      </c>
      <c r="V105" s="238">
        <f>'Food Stock 1-8'!V23+'Food Stock 1-8'!V64</f>
        <v>0</v>
      </c>
      <c r="W105" s="234">
        <f>'Food Stock 1-8'!W23+'Food Stock 1-8'!W64</f>
        <v>0</v>
      </c>
      <c r="X105" s="235">
        <f>'Food Stock 1-8'!X23+'Food Stock 1-8'!X64</f>
        <v>0</v>
      </c>
      <c r="Y105" s="238">
        <f>'Food Stock 1-8'!Y23+'Food Stock 1-8'!Y64</f>
        <v>0</v>
      </c>
      <c r="Z105" s="120"/>
      <c r="AA105" s="996"/>
      <c r="AB105" s="90" t="e">
        <f>#REF!+#REF!+#REF!+#REF!</f>
        <v>#REF!</v>
      </c>
    </row>
    <row r="106" spans="1:28" s="91" customFormat="1" ht="17.25" customHeight="1">
      <c r="A106" s="997"/>
      <c r="B106" s="116">
        <f t="shared" si="22"/>
        <v>17</v>
      </c>
      <c r="C106" s="117">
        <f>'Food-Data Entry'!L23</f>
        <v>44912</v>
      </c>
      <c r="D106" s="118" t="str">
        <f>'Food-Data Entry'!O23</f>
        <v>Saturday</v>
      </c>
      <c r="E106" s="140">
        <f>'Food Stock 1-8'!E24+'Food Stock 1-8'!E65</f>
        <v>60</v>
      </c>
      <c r="F106" s="141">
        <f>'Food Stock 1-8'!F24+'Food Stock 1-8'!F65</f>
        <v>100</v>
      </c>
      <c r="G106" s="140">
        <f>'Food Stock 1-8'!G24+'Food Stock 1-8'!G65</f>
        <v>0</v>
      </c>
      <c r="H106" s="141">
        <f>'Food Stock 1-8'!H24+'Food Stock 1-8'!H65</f>
        <v>0</v>
      </c>
      <c r="I106" s="140">
        <f>'Food Stock 1-8'!I24+'Food Stock 1-8'!I65</f>
        <v>0</v>
      </c>
      <c r="J106" s="141">
        <f>'Food Stock 1-8'!J24+'Food Stock 1-8'!J65</f>
        <v>0</v>
      </c>
      <c r="K106" s="221">
        <f>'Food Stock 1-8'!K24+'Food Stock 1-8'!K65</f>
        <v>60</v>
      </c>
      <c r="L106" s="222">
        <f>'Food Stock 1-8'!L24+'Food Stock 1-8'!L65</f>
        <v>100</v>
      </c>
      <c r="M106" s="140">
        <f>'Food Stock 1-8'!M24+'Food Stock 1-8'!M65</f>
        <v>0</v>
      </c>
      <c r="N106" s="141">
        <f>'Food Stock 1-8'!N24+'Food Stock 1-8'!N65</f>
        <v>0</v>
      </c>
      <c r="O106" s="221">
        <f>'Food Stock 1-8'!O24+'Food Stock 1-8'!O65</f>
        <v>60</v>
      </c>
      <c r="P106" s="227">
        <f>'Food Stock 1-8'!P24+'Food Stock 1-8'!P65</f>
        <v>100</v>
      </c>
      <c r="Q106" s="234">
        <f>'Food Stock 1-8'!Q24+'Food Stock 1-8'!Q65</f>
        <v>80</v>
      </c>
      <c r="R106" s="235">
        <f>'Food Stock 1-8'!R24+'Food Stock 1-8'!R65</f>
        <v>258</v>
      </c>
      <c r="S106" s="238">
        <f>'Food Stock 1-8'!S24+'Food Stock 1-8'!S65</f>
        <v>338</v>
      </c>
      <c r="T106" s="234">
        <f>'Food Stock 1-8'!T24+'Food Stock 1-8'!T65</f>
        <v>0</v>
      </c>
      <c r="U106" s="235">
        <f>'Food Stock 1-8'!U24+'Food Stock 1-8'!U65</f>
        <v>0</v>
      </c>
      <c r="V106" s="238">
        <f>'Food Stock 1-8'!V24+'Food Stock 1-8'!V65</f>
        <v>0</v>
      </c>
      <c r="W106" s="234">
        <f>'Food Stock 1-8'!W24+'Food Stock 1-8'!W65</f>
        <v>0</v>
      </c>
      <c r="X106" s="235">
        <f>'Food Stock 1-8'!X24+'Food Stock 1-8'!X65</f>
        <v>0</v>
      </c>
      <c r="Y106" s="238">
        <f>'Food Stock 1-8'!Y24+'Food Stock 1-8'!Y65</f>
        <v>0</v>
      </c>
      <c r="Z106" s="120"/>
      <c r="AA106" s="996"/>
      <c r="AB106" s="90" t="e">
        <f>#REF!+#REF!+#REF!+#REF!</f>
        <v>#REF!</v>
      </c>
    </row>
    <row r="107" spans="1:28" s="91" customFormat="1" ht="17.25" customHeight="1">
      <c r="A107" s="997"/>
      <c r="B107" s="116">
        <f t="shared" si="22"/>
        <v>18</v>
      </c>
      <c r="C107" s="117">
        <f>'Food-Data Entry'!L24</f>
        <v>44913</v>
      </c>
      <c r="D107" s="118" t="str">
        <f>'Food-Data Entry'!O24</f>
        <v>Holiday</v>
      </c>
      <c r="E107" s="140">
        <f>'Food Stock 1-8'!E25+'Food Stock 1-8'!E66</f>
        <v>60</v>
      </c>
      <c r="F107" s="141">
        <f>'Food Stock 1-8'!F25+'Food Stock 1-8'!F66</f>
        <v>100</v>
      </c>
      <c r="G107" s="140">
        <f>'Food Stock 1-8'!G25+'Food Stock 1-8'!G66</f>
        <v>0</v>
      </c>
      <c r="H107" s="141">
        <f>'Food Stock 1-8'!H25+'Food Stock 1-8'!H66</f>
        <v>0</v>
      </c>
      <c r="I107" s="140">
        <f>'Food Stock 1-8'!I25+'Food Stock 1-8'!I66</f>
        <v>0</v>
      </c>
      <c r="J107" s="141">
        <f>'Food Stock 1-8'!J25+'Food Stock 1-8'!J66</f>
        <v>0</v>
      </c>
      <c r="K107" s="221">
        <f>'Food Stock 1-8'!K25+'Food Stock 1-8'!K66</f>
        <v>60</v>
      </c>
      <c r="L107" s="222">
        <f>'Food Stock 1-8'!L25+'Food Stock 1-8'!L66</f>
        <v>100</v>
      </c>
      <c r="M107" s="140">
        <f>'Food Stock 1-8'!M25+'Food Stock 1-8'!M66</f>
        <v>0</v>
      </c>
      <c r="N107" s="141">
        <f>'Food Stock 1-8'!N25+'Food Stock 1-8'!N66</f>
        <v>0</v>
      </c>
      <c r="O107" s="221">
        <f>'Food Stock 1-8'!O25+'Food Stock 1-8'!O66</f>
        <v>60</v>
      </c>
      <c r="P107" s="227">
        <f>'Food Stock 1-8'!P25+'Food Stock 1-8'!P66</f>
        <v>100</v>
      </c>
      <c r="Q107" s="234">
        <f>'Food Stock 1-8'!Q25+'Food Stock 1-8'!Q66</f>
        <v>80</v>
      </c>
      <c r="R107" s="235">
        <f>'Food Stock 1-8'!R25+'Food Stock 1-8'!R66</f>
        <v>258</v>
      </c>
      <c r="S107" s="238">
        <f>'Food Stock 1-8'!S25+'Food Stock 1-8'!S66</f>
        <v>338</v>
      </c>
      <c r="T107" s="234">
        <f>'Food Stock 1-8'!T25+'Food Stock 1-8'!T66</f>
        <v>0</v>
      </c>
      <c r="U107" s="235">
        <f>'Food Stock 1-8'!U25+'Food Stock 1-8'!U66</f>
        <v>0</v>
      </c>
      <c r="V107" s="238">
        <f>'Food Stock 1-8'!V25+'Food Stock 1-8'!V66</f>
        <v>0</v>
      </c>
      <c r="W107" s="234">
        <f>'Food Stock 1-8'!W25+'Food Stock 1-8'!W66</f>
        <v>0</v>
      </c>
      <c r="X107" s="235">
        <f>'Food Stock 1-8'!X25+'Food Stock 1-8'!X66</f>
        <v>0</v>
      </c>
      <c r="Y107" s="238">
        <f>'Food Stock 1-8'!Y25+'Food Stock 1-8'!Y66</f>
        <v>0</v>
      </c>
      <c r="Z107" s="120"/>
      <c r="AA107" s="996"/>
      <c r="AB107" s="90" t="e">
        <f>#REF!+#REF!+#REF!+#REF!</f>
        <v>#REF!</v>
      </c>
    </row>
    <row r="108" spans="1:28" s="91" customFormat="1" ht="17.25" customHeight="1">
      <c r="A108" s="997"/>
      <c r="B108" s="116">
        <f t="shared" si="22"/>
        <v>19</v>
      </c>
      <c r="C108" s="117">
        <f>'Food-Data Entry'!L25</f>
        <v>44914</v>
      </c>
      <c r="D108" s="118" t="str">
        <f>'Food-Data Entry'!O25</f>
        <v>Monday</v>
      </c>
      <c r="E108" s="140">
        <f>'Food Stock 1-8'!E26+'Food Stock 1-8'!E67</f>
        <v>60</v>
      </c>
      <c r="F108" s="141">
        <f>'Food Stock 1-8'!F26+'Food Stock 1-8'!F67</f>
        <v>100</v>
      </c>
      <c r="G108" s="140">
        <f>'Food Stock 1-8'!G26+'Food Stock 1-8'!G67</f>
        <v>0</v>
      </c>
      <c r="H108" s="141">
        <f>'Food Stock 1-8'!H26+'Food Stock 1-8'!H67</f>
        <v>0</v>
      </c>
      <c r="I108" s="140">
        <f>'Food Stock 1-8'!I26+'Food Stock 1-8'!I67</f>
        <v>0</v>
      </c>
      <c r="J108" s="141">
        <f>'Food Stock 1-8'!J26+'Food Stock 1-8'!J67</f>
        <v>0</v>
      </c>
      <c r="K108" s="221">
        <f>'Food Stock 1-8'!K26+'Food Stock 1-8'!K67</f>
        <v>60</v>
      </c>
      <c r="L108" s="222">
        <f>'Food Stock 1-8'!L26+'Food Stock 1-8'!L67</f>
        <v>100</v>
      </c>
      <c r="M108" s="140">
        <f>'Food Stock 1-8'!M26+'Food Stock 1-8'!M67</f>
        <v>0</v>
      </c>
      <c r="N108" s="141">
        <f>'Food Stock 1-8'!N26+'Food Stock 1-8'!N67</f>
        <v>0</v>
      </c>
      <c r="O108" s="221">
        <f>'Food Stock 1-8'!O26+'Food Stock 1-8'!O67</f>
        <v>60</v>
      </c>
      <c r="P108" s="227">
        <f>'Food Stock 1-8'!P26+'Food Stock 1-8'!P67</f>
        <v>100</v>
      </c>
      <c r="Q108" s="234">
        <f>'Food Stock 1-8'!Q26+'Food Stock 1-8'!Q67</f>
        <v>80</v>
      </c>
      <c r="R108" s="235">
        <f>'Food Stock 1-8'!R26+'Food Stock 1-8'!R67</f>
        <v>258</v>
      </c>
      <c r="S108" s="238">
        <f>'Food Stock 1-8'!S26+'Food Stock 1-8'!S67</f>
        <v>338</v>
      </c>
      <c r="T108" s="234">
        <f>'Food Stock 1-8'!T26+'Food Stock 1-8'!T67</f>
        <v>0</v>
      </c>
      <c r="U108" s="235">
        <f>'Food Stock 1-8'!U26+'Food Stock 1-8'!U67</f>
        <v>0</v>
      </c>
      <c r="V108" s="238">
        <f>'Food Stock 1-8'!V26+'Food Stock 1-8'!V67</f>
        <v>0</v>
      </c>
      <c r="W108" s="234">
        <f>'Food Stock 1-8'!W26+'Food Stock 1-8'!W67</f>
        <v>0</v>
      </c>
      <c r="X108" s="235">
        <f>'Food Stock 1-8'!X26+'Food Stock 1-8'!X67</f>
        <v>0</v>
      </c>
      <c r="Y108" s="238">
        <f>'Food Stock 1-8'!Y26+'Food Stock 1-8'!Y67</f>
        <v>0</v>
      </c>
      <c r="Z108" s="120"/>
      <c r="AA108" s="996"/>
      <c r="AB108" s="90" t="e">
        <f>#REF!+#REF!+#REF!+#REF!</f>
        <v>#REF!</v>
      </c>
    </row>
    <row r="109" spans="1:28" s="91" customFormat="1" ht="17.25" customHeight="1">
      <c r="A109" s="997"/>
      <c r="B109" s="116">
        <f t="shared" si="22"/>
        <v>20</v>
      </c>
      <c r="C109" s="117">
        <f>'Food-Data Entry'!L26</f>
        <v>44915</v>
      </c>
      <c r="D109" s="118" t="str">
        <f>'Food-Data Entry'!O26</f>
        <v>Tuesday</v>
      </c>
      <c r="E109" s="140">
        <f>'Food Stock 1-8'!E27+'Food Stock 1-8'!E68</f>
        <v>60</v>
      </c>
      <c r="F109" s="141">
        <f>'Food Stock 1-8'!F27+'Food Stock 1-8'!F68</f>
        <v>100</v>
      </c>
      <c r="G109" s="140">
        <f>'Food Stock 1-8'!G27+'Food Stock 1-8'!G68</f>
        <v>0</v>
      </c>
      <c r="H109" s="141">
        <f>'Food Stock 1-8'!H27+'Food Stock 1-8'!H68</f>
        <v>0</v>
      </c>
      <c r="I109" s="140">
        <f>'Food Stock 1-8'!I27+'Food Stock 1-8'!I68</f>
        <v>0</v>
      </c>
      <c r="J109" s="141">
        <f>'Food Stock 1-8'!J27+'Food Stock 1-8'!J68</f>
        <v>0</v>
      </c>
      <c r="K109" s="221">
        <f>'Food Stock 1-8'!K27+'Food Stock 1-8'!K68</f>
        <v>60</v>
      </c>
      <c r="L109" s="222">
        <f>'Food Stock 1-8'!L27+'Food Stock 1-8'!L68</f>
        <v>100</v>
      </c>
      <c r="M109" s="140">
        <f>'Food Stock 1-8'!M27+'Food Stock 1-8'!M68</f>
        <v>0</v>
      </c>
      <c r="N109" s="141">
        <f>'Food Stock 1-8'!N27+'Food Stock 1-8'!N68</f>
        <v>0</v>
      </c>
      <c r="O109" s="221">
        <f>'Food Stock 1-8'!O27+'Food Stock 1-8'!O68</f>
        <v>60</v>
      </c>
      <c r="P109" s="227">
        <f>'Food Stock 1-8'!P27+'Food Stock 1-8'!P68</f>
        <v>100</v>
      </c>
      <c r="Q109" s="234">
        <f>'Food Stock 1-8'!Q27+'Food Stock 1-8'!Q68</f>
        <v>80</v>
      </c>
      <c r="R109" s="235">
        <f>'Food Stock 1-8'!R27+'Food Stock 1-8'!R68</f>
        <v>258</v>
      </c>
      <c r="S109" s="238">
        <f>'Food Stock 1-8'!S27+'Food Stock 1-8'!S68</f>
        <v>338</v>
      </c>
      <c r="T109" s="234">
        <f>'Food Stock 1-8'!T27+'Food Stock 1-8'!T68</f>
        <v>0</v>
      </c>
      <c r="U109" s="235">
        <f>'Food Stock 1-8'!U27+'Food Stock 1-8'!U68</f>
        <v>0</v>
      </c>
      <c r="V109" s="238">
        <f>'Food Stock 1-8'!V27+'Food Stock 1-8'!V68</f>
        <v>0</v>
      </c>
      <c r="W109" s="234">
        <f>'Food Stock 1-8'!W27+'Food Stock 1-8'!W68</f>
        <v>0</v>
      </c>
      <c r="X109" s="235">
        <f>'Food Stock 1-8'!X27+'Food Stock 1-8'!X68</f>
        <v>0</v>
      </c>
      <c r="Y109" s="238">
        <f>'Food Stock 1-8'!Y27+'Food Stock 1-8'!Y68</f>
        <v>0</v>
      </c>
      <c r="Z109" s="120"/>
      <c r="AA109" s="996"/>
      <c r="AB109" s="90" t="e">
        <f>#REF!+#REF!+#REF!+#REF!</f>
        <v>#REF!</v>
      </c>
    </row>
    <row r="110" spans="1:28" s="91" customFormat="1" ht="17.25" customHeight="1">
      <c r="A110" s="997"/>
      <c r="B110" s="116">
        <f t="shared" si="22"/>
        <v>21</v>
      </c>
      <c r="C110" s="121">
        <f>'Food-Data Entry'!L27</f>
        <v>44916</v>
      </c>
      <c r="D110" s="122" t="str">
        <f>'Food-Data Entry'!O27</f>
        <v>Wednesday</v>
      </c>
      <c r="E110" s="140">
        <f>'Food Stock 1-8'!E28+'Food Stock 1-8'!E69</f>
        <v>60</v>
      </c>
      <c r="F110" s="141">
        <f>'Food Stock 1-8'!F28+'Food Stock 1-8'!F69</f>
        <v>100</v>
      </c>
      <c r="G110" s="140">
        <f>'Food Stock 1-8'!G28+'Food Stock 1-8'!G69</f>
        <v>0</v>
      </c>
      <c r="H110" s="141">
        <f>'Food Stock 1-8'!H28+'Food Stock 1-8'!H69</f>
        <v>0</v>
      </c>
      <c r="I110" s="140">
        <f>'Food Stock 1-8'!I28+'Food Stock 1-8'!I69</f>
        <v>0</v>
      </c>
      <c r="J110" s="141">
        <f>'Food Stock 1-8'!J28+'Food Stock 1-8'!J69</f>
        <v>0</v>
      </c>
      <c r="K110" s="221">
        <f>'Food Stock 1-8'!K28+'Food Stock 1-8'!K69</f>
        <v>60</v>
      </c>
      <c r="L110" s="222">
        <f>'Food Stock 1-8'!L28+'Food Stock 1-8'!L69</f>
        <v>100</v>
      </c>
      <c r="M110" s="140">
        <f>'Food Stock 1-8'!M28+'Food Stock 1-8'!M69</f>
        <v>0</v>
      </c>
      <c r="N110" s="141">
        <f>'Food Stock 1-8'!N28+'Food Stock 1-8'!N69</f>
        <v>0</v>
      </c>
      <c r="O110" s="221">
        <f>'Food Stock 1-8'!O28+'Food Stock 1-8'!O69</f>
        <v>60</v>
      </c>
      <c r="P110" s="227">
        <f>'Food Stock 1-8'!P28+'Food Stock 1-8'!P69</f>
        <v>100</v>
      </c>
      <c r="Q110" s="234">
        <f>'Food Stock 1-8'!Q28+'Food Stock 1-8'!Q69</f>
        <v>80</v>
      </c>
      <c r="R110" s="235">
        <f>'Food Stock 1-8'!R28+'Food Stock 1-8'!R69</f>
        <v>258</v>
      </c>
      <c r="S110" s="238">
        <f>'Food Stock 1-8'!S28+'Food Stock 1-8'!S69</f>
        <v>338</v>
      </c>
      <c r="T110" s="234">
        <f>'Food Stock 1-8'!T28+'Food Stock 1-8'!T69</f>
        <v>0</v>
      </c>
      <c r="U110" s="235">
        <f>'Food Stock 1-8'!U28+'Food Stock 1-8'!U69</f>
        <v>0</v>
      </c>
      <c r="V110" s="238">
        <f>'Food Stock 1-8'!V28+'Food Stock 1-8'!V69</f>
        <v>0</v>
      </c>
      <c r="W110" s="234">
        <f>'Food Stock 1-8'!W28+'Food Stock 1-8'!W69</f>
        <v>0</v>
      </c>
      <c r="X110" s="235">
        <f>'Food Stock 1-8'!X28+'Food Stock 1-8'!X69</f>
        <v>0</v>
      </c>
      <c r="Y110" s="238">
        <f>'Food Stock 1-8'!Y28+'Food Stock 1-8'!Y69</f>
        <v>0</v>
      </c>
      <c r="Z110" s="123"/>
      <c r="AA110" s="996"/>
      <c r="AB110" s="90" t="e">
        <f>#REF!+#REF!+#REF!+#REF!</f>
        <v>#REF!</v>
      </c>
    </row>
    <row r="111" spans="1:28" s="91" customFormat="1" ht="17.25" customHeight="1">
      <c r="A111" s="997"/>
      <c r="B111" s="116">
        <f t="shared" si="22"/>
        <v>22</v>
      </c>
      <c r="C111" s="121">
        <f>'Food-Data Entry'!L28</f>
        <v>44917</v>
      </c>
      <c r="D111" s="122" t="str">
        <f>'Food-Data Entry'!O28</f>
        <v>Thursday</v>
      </c>
      <c r="E111" s="140">
        <f>'Food Stock 1-8'!E29+'Food Stock 1-8'!E70</f>
        <v>60</v>
      </c>
      <c r="F111" s="141">
        <f>'Food Stock 1-8'!F29+'Food Stock 1-8'!F70</f>
        <v>100</v>
      </c>
      <c r="G111" s="140">
        <f>'Food Stock 1-8'!G29+'Food Stock 1-8'!G70</f>
        <v>0</v>
      </c>
      <c r="H111" s="141">
        <f>'Food Stock 1-8'!H29+'Food Stock 1-8'!H70</f>
        <v>0</v>
      </c>
      <c r="I111" s="140">
        <f>'Food Stock 1-8'!I29+'Food Stock 1-8'!I70</f>
        <v>0</v>
      </c>
      <c r="J111" s="141">
        <f>'Food Stock 1-8'!J29+'Food Stock 1-8'!J70</f>
        <v>0</v>
      </c>
      <c r="K111" s="221">
        <f>'Food Stock 1-8'!K29+'Food Stock 1-8'!K70</f>
        <v>60</v>
      </c>
      <c r="L111" s="222">
        <f>'Food Stock 1-8'!L29+'Food Stock 1-8'!L70</f>
        <v>100</v>
      </c>
      <c r="M111" s="140">
        <f>'Food Stock 1-8'!M29+'Food Stock 1-8'!M70</f>
        <v>0</v>
      </c>
      <c r="N111" s="141">
        <f>'Food Stock 1-8'!N29+'Food Stock 1-8'!N70</f>
        <v>0</v>
      </c>
      <c r="O111" s="221">
        <f>'Food Stock 1-8'!O29+'Food Stock 1-8'!O70</f>
        <v>60</v>
      </c>
      <c r="P111" s="227">
        <f>'Food Stock 1-8'!P29+'Food Stock 1-8'!P70</f>
        <v>100</v>
      </c>
      <c r="Q111" s="234">
        <f>'Food Stock 1-8'!Q29+'Food Stock 1-8'!Q70</f>
        <v>80</v>
      </c>
      <c r="R111" s="235">
        <f>'Food Stock 1-8'!R29+'Food Stock 1-8'!R70</f>
        <v>258</v>
      </c>
      <c r="S111" s="238">
        <f>'Food Stock 1-8'!S29+'Food Stock 1-8'!S70</f>
        <v>338</v>
      </c>
      <c r="T111" s="234">
        <f>'Food Stock 1-8'!T29+'Food Stock 1-8'!T70</f>
        <v>0</v>
      </c>
      <c r="U111" s="235">
        <f>'Food Stock 1-8'!U29+'Food Stock 1-8'!U70</f>
        <v>0</v>
      </c>
      <c r="V111" s="238">
        <f>'Food Stock 1-8'!V29+'Food Stock 1-8'!V70</f>
        <v>0</v>
      </c>
      <c r="W111" s="234">
        <f>'Food Stock 1-8'!W29+'Food Stock 1-8'!W70</f>
        <v>0</v>
      </c>
      <c r="X111" s="235">
        <f>'Food Stock 1-8'!X29+'Food Stock 1-8'!X70</f>
        <v>0</v>
      </c>
      <c r="Y111" s="238">
        <f>'Food Stock 1-8'!Y29+'Food Stock 1-8'!Y70</f>
        <v>0</v>
      </c>
      <c r="Z111" s="123"/>
      <c r="AA111" s="996"/>
      <c r="AB111" s="90" t="e">
        <f>#REF!+#REF!+#REF!+#REF!</f>
        <v>#REF!</v>
      </c>
    </row>
    <row r="112" spans="1:28" s="91" customFormat="1" ht="17.25" customHeight="1">
      <c r="A112" s="997"/>
      <c r="B112" s="116">
        <f t="shared" si="22"/>
        <v>23</v>
      </c>
      <c r="C112" s="121">
        <f>'Food-Data Entry'!L29</f>
        <v>44918</v>
      </c>
      <c r="D112" s="122" t="str">
        <f>'Food-Data Entry'!O29</f>
        <v>Friday</v>
      </c>
      <c r="E112" s="140">
        <f>'Food Stock 1-8'!E30+'Food Stock 1-8'!E71</f>
        <v>60</v>
      </c>
      <c r="F112" s="141">
        <f>'Food Stock 1-8'!F30+'Food Stock 1-8'!F71</f>
        <v>100</v>
      </c>
      <c r="G112" s="140">
        <f>'Food Stock 1-8'!G30+'Food Stock 1-8'!G71</f>
        <v>0</v>
      </c>
      <c r="H112" s="141">
        <f>'Food Stock 1-8'!H30+'Food Stock 1-8'!H71</f>
        <v>0</v>
      </c>
      <c r="I112" s="140">
        <f>'Food Stock 1-8'!I30+'Food Stock 1-8'!I71</f>
        <v>0</v>
      </c>
      <c r="J112" s="141">
        <f>'Food Stock 1-8'!J30+'Food Stock 1-8'!J71</f>
        <v>0</v>
      </c>
      <c r="K112" s="221">
        <f>'Food Stock 1-8'!K30+'Food Stock 1-8'!K71</f>
        <v>60</v>
      </c>
      <c r="L112" s="222">
        <f>'Food Stock 1-8'!L30+'Food Stock 1-8'!L71</f>
        <v>100</v>
      </c>
      <c r="M112" s="140">
        <f>'Food Stock 1-8'!M30+'Food Stock 1-8'!M71</f>
        <v>0</v>
      </c>
      <c r="N112" s="141">
        <f>'Food Stock 1-8'!N30+'Food Stock 1-8'!N71</f>
        <v>0</v>
      </c>
      <c r="O112" s="221">
        <f>'Food Stock 1-8'!O30+'Food Stock 1-8'!O71</f>
        <v>60</v>
      </c>
      <c r="P112" s="227">
        <f>'Food Stock 1-8'!P30+'Food Stock 1-8'!P71</f>
        <v>100</v>
      </c>
      <c r="Q112" s="234">
        <f>'Food Stock 1-8'!Q30+'Food Stock 1-8'!Q71</f>
        <v>80</v>
      </c>
      <c r="R112" s="235">
        <f>'Food Stock 1-8'!R30+'Food Stock 1-8'!R71</f>
        <v>258</v>
      </c>
      <c r="S112" s="238">
        <f>'Food Stock 1-8'!S30+'Food Stock 1-8'!S71</f>
        <v>338</v>
      </c>
      <c r="T112" s="234">
        <f>'Food Stock 1-8'!T30+'Food Stock 1-8'!T71</f>
        <v>0</v>
      </c>
      <c r="U112" s="235">
        <f>'Food Stock 1-8'!U30+'Food Stock 1-8'!U71</f>
        <v>0</v>
      </c>
      <c r="V112" s="238">
        <f>'Food Stock 1-8'!V30+'Food Stock 1-8'!V71</f>
        <v>0</v>
      </c>
      <c r="W112" s="234">
        <f>'Food Stock 1-8'!W30+'Food Stock 1-8'!W71</f>
        <v>0</v>
      </c>
      <c r="X112" s="235">
        <f>'Food Stock 1-8'!X30+'Food Stock 1-8'!X71</f>
        <v>0</v>
      </c>
      <c r="Y112" s="238">
        <f>'Food Stock 1-8'!Y30+'Food Stock 1-8'!Y71</f>
        <v>0</v>
      </c>
      <c r="Z112" s="123"/>
      <c r="AA112" s="996"/>
      <c r="AB112" s="90" t="e">
        <f>#REF!+#REF!+#REF!+#REF!</f>
        <v>#REF!</v>
      </c>
    </row>
    <row r="113" spans="1:28" s="91" customFormat="1" ht="17.25" customHeight="1">
      <c r="A113" s="997"/>
      <c r="B113" s="116">
        <f t="shared" si="22"/>
        <v>24</v>
      </c>
      <c r="C113" s="121">
        <f>'Food-Data Entry'!L30</f>
        <v>44919</v>
      </c>
      <c r="D113" s="122" t="str">
        <f>'Food-Data Entry'!O30</f>
        <v>Saturday</v>
      </c>
      <c r="E113" s="140">
        <f>'Food Stock 1-8'!E31+'Food Stock 1-8'!E72</f>
        <v>60</v>
      </c>
      <c r="F113" s="141">
        <f>'Food Stock 1-8'!F31+'Food Stock 1-8'!F72</f>
        <v>100</v>
      </c>
      <c r="G113" s="140">
        <f>'Food Stock 1-8'!G31+'Food Stock 1-8'!G72</f>
        <v>0</v>
      </c>
      <c r="H113" s="141">
        <f>'Food Stock 1-8'!H31+'Food Stock 1-8'!H72</f>
        <v>0</v>
      </c>
      <c r="I113" s="140">
        <f>'Food Stock 1-8'!I31+'Food Stock 1-8'!I72</f>
        <v>0</v>
      </c>
      <c r="J113" s="141">
        <f>'Food Stock 1-8'!J31+'Food Stock 1-8'!J72</f>
        <v>0</v>
      </c>
      <c r="K113" s="221">
        <f>'Food Stock 1-8'!K31+'Food Stock 1-8'!K72</f>
        <v>60</v>
      </c>
      <c r="L113" s="222">
        <f>'Food Stock 1-8'!L31+'Food Stock 1-8'!L72</f>
        <v>100</v>
      </c>
      <c r="M113" s="140">
        <f>'Food Stock 1-8'!M31+'Food Stock 1-8'!M72</f>
        <v>0</v>
      </c>
      <c r="N113" s="141">
        <f>'Food Stock 1-8'!N31+'Food Stock 1-8'!N72</f>
        <v>0</v>
      </c>
      <c r="O113" s="221">
        <f>'Food Stock 1-8'!O31+'Food Stock 1-8'!O72</f>
        <v>60</v>
      </c>
      <c r="P113" s="227">
        <f>'Food Stock 1-8'!P31+'Food Stock 1-8'!P72</f>
        <v>100</v>
      </c>
      <c r="Q113" s="234">
        <f>'Food Stock 1-8'!Q31+'Food Stock 1-8'!Q72</f>
        <v>80</v>
      </c>
      <c r="R113" s="235">
        <f>'Food Stock 1-8'!R31+'Food Stock 1-8'!R72</f>
        <v>258</v>
      </c>
      <c r="S113" s="238">
        <f>'Food Stock 1-8'!S31+'Food Stock 1-8'!S72</f>
        <v>338</v>
      </c>
      <c r="T113" s="234">
        <f>'Food Stock 1-8'!T31+'Food Stock 1-8'!T72</f>
        <v>0</v>
      </c>
      <c r="U113" s="235">
        <f>'Food Stock 1-8'!U31+'Food Stock 1-8'!U72</f>
        <v>0</v>
      </c>
      <c r="V113" s="238">
        <f>'Food Stock 1-8'!V31+'Food Stock 1-8'!V72</f>
        <v>0</v>
      </c>
      <c r="W113" s="234">
        <f>'Food Stock 1-8'!W31+'Food Stock 1-8'!W72</f>
        <v>0</v>
      </c>
      <c r="X113" s="235">
        <f>'Food Stock 1-8'!X31+'Food Stock 1-8'!X72</f>
        <v>0</v>
      </c>
      <c r="Y113" s="238">
        <f>'Food Stock 1-8'!Y31+'Food Stock 1-8'!Y72</f>
        <v>0</v>
      </c>
      <c r="Z113" s="123"/>
      <c r="AA113" s="996"/>
      <c r="AB113" s="90" t="e">
        <f>#REF!+#REF!+#REF!+#REF!</f>
        <v>#REF!</v>
      </c>
    </row>
    <row r="114" spans="1:28" s="91" customFormat="1" ht="17.25" customHeight="1">
      <c r="A114" s="997"/>
      <c r="B114" s="116">
        <f t="shared" si="22"/>
        <v>25</v>
      </c>
      <c r="C114" s="121">
        <f>'Food-Data Entry'!L31</f>
        <v>44920</v>
      </c>
      <c r="D114" s="122" t="str">
        <f>'Food-Data Entry'!O31</f>
        <v>Holiday</v>
      </c>
      <c r="E114" s="140">
        <f>'Food Stock 1-8'!E32+'Food Stock 1-8'!E73</f>
        <v>60</v>
      </c>
      <c r="F114" s="141">
        <f>'Food Stock 1-8'!F32+'Food Stock 1-8'!F73</f>
        <v>100</v>
      </c>
      <c r="G114" s="140">
        <f>'Food Stock 1-8'!G32+'Food Stock 1-8'!G73</f>
        <v>0</v>
      </c>
      <c r="H114" s="141">
        <f>'Food Stock 1-8'!H32+'Food Stock 1-8'!H73</f>
        <v>0</v>
      </c>
      <c r="I114" s="140">
        <f>'Food Stock 1-8'!I32+'Food Stock 1-8'!I73</f>
        <v>0</v>
      </c>
      <c r="J114" s="141">
        <f>'Food Stock 1-8'!J32+'Food Stock 1-8'!J73</f>
        <v>0</v>
      </c>
      <c r="K114" s="221">
        <f>'Food Stock 1-8'!K32+'Food Stock 1-8'!K73</f>
        <v>60</v>
      </c>
      <c r="L114" s="222">
        <f>'Food Stock 1-8'!L32+'Food Stock 1-8'!L73</f>
        <v>100</v>
      </c>
      <c r="M114" s="140">
        <f>'Food Stock 1-8'!M32+'Food Stock 1-8'!M73</f>
        <v>0</v>
      </c>
      <c r="N114" s="141">
        <f>'Food Stock 1-8'!N32+'Food Stock 1-8'!N73</f>
        <v>0</v>
      </c>
      <c r="O114" s="221">
        <f>'Food Stock 1-8'!O32+'Food Stock 1-8'!O73</f>
        <v>60</v>
      </c>
      <c r="P114" s="227">
        <f>'Food Stock 1-8'!P32+'Food Stock 1-8'!P73</f>
        <v>100</v>
      </c>
      <c r="Q114" s="234">
        <f>'Food Stock 1-8'!Q32+'Food Stock 1-8'!Q73</f>
        <v>80</v>
      </c>
      <c r="R114" s="235">
        <f>'Food Stock 1-8'!R32+'Food Stock 1-8'!R73</f>
        <v>258</v>
      </c>
      <c r="S114" s="238">
        <f>'Food Stock 1-8'!S32+'Food Stock 1-8'!S73</f>
        <v>338</v>
      </c>
      <c r="T114" s="234">
        <f>'Food Stock 1-8'!T32+'Food Stock 1-8'!T73</f>
        <v>0</v>
      </c>
      <c r="U114" s="235">
        <f>'Food Stock 1-8'!U32+'Food Stock 1-8'!U73</f>
        <v>0</v>
      </c>
      <c r="V114" s="238">
        <f>'Food Stock 1-8'!V32+'Food Stock 1-8'!V73</f>
        <v>0</v>
      </c>
      <c r="W114" s="234">
        <f>'Food Stock 1-8'!W32+'Food Stock 1-8'!W73</f>
        <v>0</v>
      </c>
      <c r="X114" s="235">
        <f>'Food Stock 1-8'!X32+'Food Stock 1-8'!X73</f>
        <v>0</v>
      </c>
      <c r="Y114" s="238">
        <f>'Food Stock 1-8'!Y32+'Food Stock 1-8'!Y73</f>
        <v>0</v>
      </c>
      <c r="Z114" s="123"/>
      <c r="AA114" s="996"/>
      <c r="AB114" s="90" t="e">
        <f>#REF!+#REF!+#REF!+#REF!</f>
        <v>#REF!</v>
      </c>
    </row>
    <row r="115" spans="1:28" s="91" customFormat="1" ht="17.25" customHeight="1">
      <c r="A115" s="997"/>
      <c r="B115" s="116">
        <f t="shared" si="22"/>
        <v>26</v>
      </c>
      <c r="C115" s="121">
        <f>'Food-Data Entry'!L32</f>
        <v>44921</v>
      </c>
      <c r="D115" s="122" t="str">
        <f>'Food-Data Entry'!O32</f>
        <v>Monday</v>
      </c>
      <c r="E115" s="140">
        <f>'Food Stock 1-8'!E33+'Food Stock 1-8'!E74</f>
        <v>60</v>
      </c>
      <c r="F115" s="141">
        <f>'Food Stock 1-8'!F33+'Food Stock 1-8'!F74</f>
        <v>100</v>
      </c>
      <c r="G115" s="140">
        <f>'Food Stock 1-8'!G33+'Food Stock 1-8'!G74</f>
        <v>0</v>
      </c>
      <c r="H115" s="141">
        <f>'Food Stock 1-8'!H33+'Food Stock 1-8'!H74</f>
        <v>0</v>
      </c>
      <c r="I115" s="140">
        <f>'Food Stock 1-8'!I33+'Food Stock 1-8'!I74</f>
        <v>0</v>
      </c>
      <c r="J115" s="141">
        <f>'Food Stock 1-8'!J33+'Food Stock 1-8'!J74</f>
        <v>0</v>
      </c>
      <c r="K115" s="221">
        <f>'Food Stock 1-8'!K33+'Food Stock 1-8'!K74</f>
        <v>60</v>
      </c>
      <c r="L115" s="222">
        <f>'Food Stock 1-8'!L33+'Food Stock 1-8'!L74</f>
        <v>100</v>
      </c>
      <c r="M115" s="140">
        <f>'Food Stock 1-8'!M33+'Food Stock 1-8'!M74</f>
        <v>0</v>
      </c>
      <c r="N115" s="141">
        <f>'Food Stock 1-8'!N33+'Food Stock 1-8'!N74</f>
        <v>0</v>
      </c>
      <c r="O115" s="221">
        <f>'Food Stock 1-8'!O33+'Food Stock 1-8'!O74</f>
        <v>60</v>
      </c>
      <c r="P115" s="227">
        <f>'Food Stock 1-8'!P33+'Food Stock 1-8'!P74</f>
        <v>100</v>
      </c>
      <c r="Q115" s="234">
        <f>'Food Stock 1-8'!Q33+'Food Stock 1-8'!Q74</f>
        <v>80</v>
      </c>
      <c r="R115" s="235">
        <f>'Food Stock 1-8'!R33+'Food Stock 1-8'!R74</f>
        <v>258</v>
      </c>
      <c r="S115" s="238">
        <f>'Food Stock 1-8'!S33+'Food Stock 1-8'!S74</f>
        <v>338</v>
      </c>
      <c r="T115" s="234">
        <f>'Food Stock 1-8'!T33+'Food Stock 1-8'!T74</f>
        <v>0</v>
      </c>
      <c r="U115" s="235">
        <f>'Food Stock 1-8'!U33+'Food Stock 1-8'!U74</f>
        <v>0</v>
      </c>
      <c r="V115" s="238">
        <f>'Food Stock 1-8'!V33+'Food Stock 1-8'!V74</f>
        <v>0</v>
      </c>
      <c r="W115" s="234">
        <f>'Food Stock 1-8'!W33+'Food Stock 1-8'!W74</f>
        <v>0</v>
      </c>
      <c r="X115" s="235">
        <f>'Food Stock 1-8'!X33+'Food Stock 1-8'!X74</f>
        <v>0</v>
      </c>
      <c r="Y115" s="238">
        <f>'Food Stock 1-8'!Y33+'Food Stock 1-8'!Y74</f>
        <v>0</v>
      </c>
      <c r="Z115" s="123"/>
      <c r="AA115" s="996"/>
      <c r="AB115" s="90" t="e">
        <f>#REF!+#REF!+#REF!+#REF!</f>
        <v>#REF!</v>
      </c>
    </row>
    <row r="116" spans="1:28" s="91" customFormat="1" ht="17.25" customHeight="1">
      <c r="A116" s="997"/>
      <c r="B116" s="116">
        <f t="shared" si="22"/>
        <v>27</v>
      </c>
      <c r="C116" s="121">
        <f>'Food-Data Entry'!L33</f>
        <v>44922</v>
      </c>
      <c r="D116" s="122" t="str">
        <f>'Food-Data Entry'!O33</f>
        <v>Tuesday</v>
      </c>
      <c r="E116" s="140">
        <f>'Food Stock 1-8'!E34+'Food Stock 1-8'!E75</f>
        <v>60</v>
      </c>
      <c r="F116" s="141">
        <f>'Food Stock 1-8'!F34+'Food Stock 1-8'!F75</f>
        <v>100</v>
      </c>
      <c r="G116" s="140">
        <f>'Food Stock 1-8'!G34+'Food Stock 1-8'!G75</f>
        <v>0</v>
      </c>
      <c r="H116" s="141">
        <f>'Food Stock 1-8'!H34+'Food Stock 1-8'!H75</f>
        <v>0</v>
      </c>
      <c r="I116" s="140">
        <f>'Food Stock 1-8'!I34+'Food Stock 1-8'!I75</f>
        <v>0</v>
      </c>
      <c r="J116" s="141">
        <f>'Food Stock 1-8'!J34+'Food Stock 1-8'!J75</f>
        <v>0</v>
      </c>
      <c r="K116" s="221">
        <f>'Food Stock 1-8'!K34+'Food Stock 1-8'!K75</f>
        <v>60</v>
      </c>
      <c r="L116" s="222">
        <f>'Food Stock 1-8'!L34+'Food Stock 1-8'!L75</f>
        <v>100</v>
      </c>
      <c r="M116" s="140">
        <f>'Food Stock 1-8'!M34+'Food Stock 1-8'!M75</f>
        <v>0</v>
      </c>
      <c r="N116" s="141">
        <f>'Food Stock 1-8'!N34+'Food Stock 1-8'!N75</f>
        <v>0</v>
      </c>
      <c r="O116" s="221">
        <f>'Food Stock 1-8'!O34+'Food Stock 1-8'!O75</f>
        <v>60</v>
      </c>
      <c r="P116" s="227">
        <f>'Food Stock 1-8'!P34+'Food Stock 1-8'!P75</f>
        <v>100</v>
      </c>
      <c r="Q116" s="234">
        <f>'Food Stock 1-8'!Q34+'Food Stock 1-8'!Q75</f>
        <v>80</v>
      </c>
      <c r="R116" s="235">
        <f>'Food Stock 1-8'!R34+'Food Stock 1-8'!R75</f>
        <v>258</v>
      </c>
      <c r="S116" s="238">
        <f>'Food Stock 1-8'!S34+'Food Stock 1-8'!S75</f>
        <v>338</v>
      </c>
      <c r="T116" s="234">
        <f>'Food Stock 1-8'!T34+'Food Stock 1-8'!T75</f>
        <v>0</v>
      </c>
      <c r="U116" s="235">
        <f>'Food Stock 1-8'!U34+'Food Stock 1-8'!U75</f>
        <v>0</v>
      </c>
      <c r="V116" s="238">
        <f>'Food Stock 1-8'!V34+'Food Stock 1-8'!V75</f>
        <v>0</v>
      </c>
      <c r="W116" s="234">
        <f>'Food Stock 1-8'!W34+'Food Stock 1-8'!W75</f>
        <v>0</v>
      </c>
      <c r="X116" s="235">
        <f>'Food Stock 1-8'!X34+'Food Stock 1-8'!X75</f>
        <v>0</v>
      </c>
      <c r="Y116" s="238">
        <f>'Food Stock 1-8'!Y34+'Food Stock 1-8'!Y75</f>
        <v>0</v>
      </c>
      <c r="Z116" s="123"/>
      <c r="AA116" s="996"/>
      <c r="AB116" s="90" t="e">
        <f>#REF!+#REF!+#REF!+#REF!</f>
        <v>#REF!</v>
      </c>
    </row>
    <row r="117" spans="1:28" s="91" customFormat="1" ht="17.25" customHeight="1">
      <c r="A117" s="997"/>
      <c r="B117" s="116">
        <f t="shared" si="22"/>
        <v>28</v>
      </c>
      <c r="C117" s="121">
        <f>'Food-Data Entry'!L34</f>
        <v>44923</v>
      </c>
      <c r="D117" s="122" t="str">
        <f>'Food-Data Entry'!O34</f>
        <v>Wednesday</v>
      </c>
      <c r="E117" s="140">
        <f>'Food Stock 1-8'!E35+'Food Stock 1-8'!E76</f>
        <v>60</v>
      </c>
      <c r="F117" s="141">
        <f>'Food Stock 1-8'!F35+'Food Stock 1-8'!F76</f>
        <v>100</v>
      </c>
      <c r="G117" s="140">
        <f>'Food Stock 1-8'!G35+'Food Stock 1-8'!G76</f>
        <v>0</v>
      </c>
      <c r="H117" s="141">
        <f>'Food Stock 1-8'!H35+'Food Stock 1-8'!H76</f>
        <v>0</v>
      </c>
      <c r="I117" s="140">
        <f>'Food Stock 1-8'!I35+'Food Stock 1-8'!I76</f>
        <v>0</v>
      </c>
      <c r="J117" s="141">
        <f>'Food Stock 1-8'!J35+'Food Stock 1-8'!J76</f>
        <v>0</v>
      </c>
      <c r="K117" s="221">
        <f>'Food Stock 1-8'!K35+'Food Stock 1-8'!K76</f>
        <v>60</v>
      </c>
      <c r="L117" s="222">
        <f>'Food Stock 1-8'!L35+'Food Stock 1-8'!L76</f>
        <v>100</v>
      </c>
      <c r="M117" s="140">
        <f>'Food Stock 1-8'!M35+'Food Stock 1-8'!M76</f>
        <v>0</v>
      </c>
      <c r="N117" s="141">
        <f>'Food Stock 1-8'!N35+'Food Stock 1-8'!N76</f>
        <v>0</v>
      </c>
      <c r="O117" s="221">
        <f>'Food Stock 1-8'!O35+'Food Stock 1-8'!O76</f>
        <v>60</v>
      </c>
      <c r="P117" s="227">
        <f>'Food Stock 1-8'!P35+'Food Stock 1-8'!P76</f>
        <v>100</v>
      </c>
      <c r="Q117" s="234">
        <f>'Food Stock 1-8'!Q35+'Food Stock 1-8'!Q76</f>
        <v>80</v>
      </c>
      <c r="R117" s="235">
        <f>'Food Stock 1-8'!R35+'Food Stock 1-8'!R76</f>
        <v>258</v>
      </c>
      <c r="S117" s="238">
        <f>'Food Stock 1-8'!S35+'Food Stock 1-8'!S76</f>
        <v>338</v>
      </c>
      <c r="T117" s="234">
        <f>'Food Stock 1-8'!T35+'Food Stock 1-8'!T76</f>
        <v>0</v>
      </c>
      <c r="U117" s="235">
        <f>'Food Stock 1-8'!U35+'Food Stock 1-8'!U76</f>
        <v>0</v>
      </c>
      <c r="V117" s="238">
        <f>'Food Stock 1-8'!V35+'Food Stock 1-8'!V76</f>
        <v>0</v>
      </c>
      <c r="W117" s="234">
        <f>'Food Stock 1-8'!W35+'Food Stock 1-8'!W76</f>
        <v>0</v>
      </c>
      <c r="X117" s="235">
        <f>'Food Stock 1-8'!X35+'Food Stock 1-8'!X76</f>
        <v>0</v>
      </c>
      <c r="Y117" s="238">
        <f>'Food Stock 1-8'!Y35+'Food Stock 1-8'!Y76</f>
        <v>0</v>
      </c>
      <c r="Z117" s="123"/>
      <c r="AA117" s="996"/>
      <c r="AB117" s="90" t="e">
        <f>#REF!+#REF!+#REF!+#REF!</f>
        <v>#REF!</v>
      </c>
    </row>
    <row r="118" spans="1:28" s="91" customFormat="1" ht="17.25" customHeight="1">
      <c r="A118" s="997"/>
      <c r="B118" s="116">
        <f t="shared" si="22"/>
        <v>29</v>
      </c>
      <c r="C118" s="121">
        <f>'Food-Data Entry'!L35</f>
        <v>44924</v>
      </c>
      <c r="D118" s="122" t="str">
        <f>'Food-Data Entry'!O35</f>
        <v>Thursday</v>
      </c>
      <c r="E118" s="140">
        <f>'Food Stock 1-8'!E36+'Food Stock 1-8'!E77</f>
        <v>60</v>
      </c>
      <c r="F118" s="141">
        <f>'Food Stock 1-8'!F36+'Food Stock 1-8'!F77</f>
        <v>100</v>
      </c>
      <c r="G118" s="140">
        <f>'Food Stock 1-8'!G36+'Food Stock 1-8'!G77</f>
        <v>0</v>
      </c>
      <c r="H118" s="141">
        <f>'Food Stock 1-8'!H36+'Food Stock 1-8'!H77</f>
        <v>0</v>
      </c>
      <c r="I118" s="140">
        <f>'Food Stock 1-8'!I36+'Food Stock 1-8'!I77</f>
        <v>0</v>
      </c>
      <c r="J118" s="141">
        <f>'Food Stock 1-8'!J36+'Food Stock 1-8'!J77</f>
        <v>0</v>
      </c>
      <c r="K118" s="221">
        <f>'Food Stock 1-8'!K36+'Food Stock 1-8'!K77</f>
        <v>60</v>
      </c>
      <c r="L118" s="222">
        <f>'Food Stock 1-8'!L36+'Food Stock 1-8'!L77</f>
        <v>100</v>
      </c>
      <c r="M118" s="140">
        <f>'Food Stock 1-8'!M36+'Food Stock 1-8'!M77</f>
        <v>0</v>
      </c>
      <c r="N118" s="141">
        <f>'Food Stock 1-8'!N36+'Food Stock 1-8'!N77</f>
        <v>0</v>
      </c>
      <c r="O118" s="221">
        <f>'Food Stock 1-8'!O36+'Food Stock 1-8'!O77</f>
        <v>60</v>
      </c>
      <c r="P118" s="227">
        <f>'Food Stock 1-8'!P36+'Food Stock 1-8'!P77</f>
        <v>100</v>
      </c>
      <c r="Q118" s="234">
        <f>'Food Stock 1-8'!Q36+'Food Stock 1-8'!Q77</f>
        <v>80</v>
      </c>
      <c r="R118" s="235">
        <f>'Food Stock 1-8'!R36+'Food Stock 1-8'!R77</f>
        <v>258</v>
      </c>
      <c r="S118" s="238">
        <f>'Food Stock 1-8'!S36+'Food Stock 1-8'!S77</f>
        <v>338</v>
      </c>
      <c r="T118" s="234">
        <f>'Food Stock 1-8'!T36+'Food Stock 1-8'!T77</f>
        <v>0</v>
      </c>
      <c r="U118" s="235">
        <f>'Food Stock 1-8'!U36+'Food Stock 1-8'!U77</f>
        <v>0</v>
      </c>
      <c r="V118" s="238">
        <f>'Food Stock 1-8'!V36+'Food Stock 1-8'!V77</f>
        <v>0</v>
      </c>
      <c r="W118" s="234">
        <f>'Food Stock 1-8'!W36+'Food Stock 1-8'!W77</f>
        <v>0</v>
      </c>
      <c r="X118" s="235">
        <f>'Food Stock 1-8'!X36+'Food Stock 1-8'!X77</f>
        <v>0</v>
      </c>
      <c r="Y118" s="238">
        <f>'Food Stock 1-8'!Y36+'Food Stock 1-8'!Y77</f>
        <v>0</v>
      </c>
      <c r="Z118" s="123"/>
      <c r="AA118" s="996"/>
      <c r="AB118" s="90" t="e">
        <f>#REF!+#REF!+#REF!+#REF!</f>
        <v>#REF!</v>
      </c>
    </row>
    <row r="119" spans="1:28" s="91" customFormat="1" ht="17.25" customHeight="1">
      <c r="A119" s="997"/>
      <c r="B119" s="116">
        <f t="shared" si="22"/>
        <v>30</v>
      </c>
      <c r="C119" s="121">
        <f>'Food-Data Entry'!L36</f>
        <v>44925</v>
      </c>
      <c r="D119" s="122" t="str">
        <f>'Food-Data Entry'!O36</f>
        <v>Friday</v>
      </c>
      <c r="E119" s="140">
        <f>'Food Stock 1-8'!E37+'Food Stock 1-8'!E78</f>
        <v>60</v>
      </c>
      <c r="F119" s="141">
        <f>'Food Stock 1-8'!F37+'Food Stock 1-8'!F78</f>
        <v>100</v>
      </c>
      <c r="G119" s="140">
        <f>'Food Stock 1-8'!G37+'Food Stock 1-8'!G78</f>
        <v>0</v>
      </c>
      <c r="H119" s="141">
        <f>'Food Stock 1-8'!H37+'Food Stock 1-8'!H78</f>
        <v>0</v>
      </c>
      <c r="I119" s="140">
        <f>'Food Stock 1-8'!I37+'Food Stock 1-8'!I78</f>
        <v>0</v>
      </c>
      <c r="J119" s="141">
        <f>'Food Stock 1-8'!J37+'Food Stock 1-8'!J78</f>
        <v>0</v>
      </c>
      <c r="K119" s="221">
        <f>'Food Stock 1-8'!K37+'Food Stock 1-8'!K78</f>
        <v>60</v>
      </c>
      <c r="L119" s="222">
        <f>'Food Stock 1-8'!L37+'Food Stock 1-8'!L78</f>
        <v>100</v>
      </c>
      <c r="M119" s="140">
        <f>'Food Stock 1-8'!M37+'Food Stock 1-8'!M78</f>
        <v>0</v>
      </c>
      <c r="N119" s="141">
        <f>'Food Stock 1-8'!N37+'Food Stock 1-8'!N78</f>
        <v>0</v>
      </c>
      <c r="O119" s="221">
        <f>'Food Stock 1-8'!O37+'Food Stock 1-8'!O78</f>
        <v>60</v>
      </c>
      <c r="P119" s="227">
        <f>'Food Stock 1-8'!P37+'Food Stock 1-8'!P78</f>
        <v>100</v>
      </c>
      <c r="Q119" s="234">
        <f>'Food Stock 1-8'!Q37+'Food Stock 1-8'!Q78</f>
        <v>80</v>
      </c>
      <c r="R119" s="235">
        <f>'Food Stock 1-8'!R37+'Food Stock 1-8'!R78</f>
        <v>258</v>
      </c>
      <c r="S119" s="238">
        <f>'Food Stock 1-8'!S37+'Food Stock 1-8'!S78</f>
        <v>338</v>
      </c>
      <c r="T119" s="234">
        <f>'Food Stock 1-8'!T37+'Food Stock 1-8'!T78</f>
        <v>0</v>
      </c>
      <c r="U119" s="235">
        <f>'Food Stock 1-8'!U37+'Food Stock 1-8'!U78</f>
        <v>0</v>
      </c>
      <c r="V119" s="238">
        <f>'Food Stock 1-8'!V37+'Food Stock 1-8'!V78</f>
        <v>0</v>
      </c>
      <c r="W119" s="234">
        <f>'Food Stock 1-8'!W37+'Food Stock 1-8'!W78</f>
        <v>0</v>
      </c>
      <c r="X119" s="235">
        <f>'Food Stock 1-8'!X37+'Food Stock 1-8'!X78</f>
        <v>0</v>
      </c>
      <c r="Y119" s="238">
        <f>'Food Stock 1-8'!Y37+'Food Stock 1-8'!Y78</f>
        <v>0</v>
      </c>
      <c r="Z119" s="123"/>
      <c r="AA119" s="996"/>
      <c r="AB119" s="90" t="e">
        <f>#REF!+#REF!+#REF!+#REF!</f>
        <v>#REF!</v>
      </c>
    </row>
    <row r="120" spans="1:28" s="91" customFormat="1" ht="17.25" customHeight="1" thickBot="1">
      <c r="A120" s="997"/>
      <c r="B120" s="128">
        <f t="shared" si="22"/>
        <v>31</v>
      </c>
      <c r="C120" s="124">
        <f>'Food-Data Entry'!L37</f>
        <v>44926</v>
      </c>
      <c r="D120" s="125" t="str">
        <f>'Food-Data Entry'!O37</f>
        <v>Saturday</v>
      </c>
      <c r="E120" s="142">
        <f>'Food Stock 1-8'!E38+'Food Stock 1-8'!E79</f>
        <v>60</v>
      </c>
      <c r="F120" s="143">
        <f>'Food Stock 1-8'!F38+'Food Stock 1-8'!F79</f>
        <v>100</v>
      </c>
      <c r="G120" s="142">
        <f>'Food Stock 1-8'!G38+'Food Stock 1-8'!G79</f>
        <v>0</v>
      </c>
      <c r="H120" s="143">
        <f>'Food Stock 1-8'!H38+'Food Stock 1-8'!H79</f>
        <v>0</v>
      </c>
      <c r="I120" s="142">
        <f>'Food Stock 1-8'!I38+'Food Stock 1-8'!I79</f>
        <v>0</v>
      </c>
      <c r="J120" s="143">
        <f>'Food Stock 1-8'!J38+'Food Stock 1-8'!J79</f>
        <v>0</v>
      </c>
      <c r="K120" s="223">
        <f>'Food Stock 1-8'!K38+'Food Stock 1-8'!K79</f>
        <v>60</v>
      </c>
      <c r="L120" s="224">
        <f>'Food Stock 1-8'!L38+'Food Stock 1-8'!L79</f>
        <v>100</v>
      </c>
      <c r="M120" s="145">
        <f>'Food Stock 1-8'!M38+'Food Stock 1-8'!M79</f>
        <v>0</v>
      </c>
      <c r="N120" s="144">
        <f>'Food Stock 1-8'!N38+'Food Stock 1-8'!N79</f>
        <v>0</v>
      </c>
      <c r="O120" s="228">
        <f>'Food Stock 1-8'!O38+'Food Stock 1-8'!O79</f>
        <v>60</v>
      </c>
      <c r="P120" s="229">
        <f>'Food Stock 1-8'!P38+'Food Stock 1-8'!P79</f>
        <v>100</v>
      </c>
      <c r="Q120" s="236">
        <f>'Food Stock 1-8'!Q38+'Food Stock 1-8'!Q79</f>
        <v>80</v>
      </c>
      <c r="R120" s="237">
        <f>'Food Stock 1-8'!R38+'Food Stock 1-8'!R79</f>
        <v>258</v>
      </c>
      <c r="S120" s="239">
        <f>'Food Stock 1-8'!S38+'Food Stock 1-8'!S79</f>
        <v>338</v>
      </c>
      <c r="T120" s="236">
        <f>'Food Stock 1-8'!T38+'Food Stock 1-8'!T79</f>
        <v>0</v>
      </c>
      <c r="U120" s="237">
        <f>'Food Stock 1-8'!U38+'Food Stock 1-8'!U79</f>
        <v>0</v>
      </c>
      <c r="V120" s="239">
        <f>'Food Stock 1-8'!V38+'Food Stock 1-8'!V79</f>
        <v>0</v>
      </c>
      <c r="W120" s="236">
        <f>'Food Stock 1-8'!W38+'Food Stock 1-8'!W79</f>
        <v>0</v>
      </c>
      <c r="X120" s="237">
        <f>'Food Stock 1-8'!X38+'Food Stock 1-8'!X79</f>
        <v>0</v>
      </c>
      <c r="Y120" s="239">
        <f>'Food Stock 1-8'!Y38+'Food Stock 1-8'!Y79</f>
        <v>0</v>
      </c>
      <c r="Z120" s="129"/>
      <c r="AA120" s="996"/>
      <c r="AB120" s="90" t="e">
        <f>#REF!+#REF!+#REF!+#REF!</f>
        <v>#REF!</v>
      </c>
    </row>
    <row r="121" spans="1:28" s="91" customFormat="1" ht="21.75" customHeight="1">
      <c r="A121" s="997"/>
      <c r="B121" s="1046" t="s">
        <v>325</v>
      </c>
      <c r="C121" s="1047"/>
      <c r="D121" s="240" t="s">
        <v>326</v>
      </c>
      <c r="E121" s="1050">
        <f>'Food Stock 1-8'!E39+'Food Stock 1-8'!E80</f>
        <v>0</v>
      </c>
      <c r="F121" s="1050"/>
      <c r="G121" s="1051"/>
      <c r="H121" s="1046" t="s">
        <v>328</v>
      </c>
      <c r="I121" s="1047"/>
      <c r="J121" s="1052"/>
      <c r="K121" s="1054" t="s">
        <v>326</v>
      </c>
      <c r="L121" s="1055"/>
      <c r="M121" s="1050">
        <f>'Food Stock 1-8'!M39+'Food Stock 1-8'!M81</f>
        <v>0</v>
      </c>
      <c r="N121" s="1050"/>
      <c r="O121" s="1051"/>
      <c r="P121" s="1056" t="s">
        <v>329</v>
      </c>
      <c r="Q121" s="1057"/>
      <c r="R121" s="1057"/>
      <c r="S121" s="1058"/>
      <c r="T121" s="1062" t="s">
        <v>330</v>
      </c>
      <c r="U121" s="1063"/>
      <c r="V121" s="1063"/>
      <c r="W121" s="1064">
        <f>'Food Stock 1-8'!W39+'Food Stock 1-8'!W80</f>
        <v>60</v>
      </c>
      <c r="X121" s="1064"/>
      <c r="Y121" s="1064"/>
      <c r="Z121" s="1065"/>
      <c r="AA121" s="996"/>
      <c r="AB121" s="90"/>
    </row>
    <row r="122" spans="1:28" s="91" customFormat="1" ht="21.75" customHeight="1" thickBot="1">
      <c r="A122" s="997"/>
      <c r="B122" s="1048"/>
      <c r="C122" s="1049"/>
      <c r="D122" s="241" t="s">
        <v>327</v>
      </c>
      <c r="E122" s="1066">
        <f>'Food Stock 1-8'!E40+'Food Stock 1-8'!E81</f>
        <v>0</v>
      </c>
      <c r="F122" s="1066"/>
      <c r="G122" s="1067"/>
      <c r="H122" s="1048"/>
      <c r="I122" s="1049"/>
      <c r="J122" s="1053"/>
      <c r="K122" s="1068" t="s">
        <v>327</v>
      </c>
      <c r="L122" s="1069"/>
      <c r="M122" s="1066">
        <f>'Food Stock 1-8'!M40+'Food Stock 1-8'!M81</f>
        <v>0</v>
      </c>
      <c r="N122" s="1066"/>
      <c r="O122" s="1067"/>
      <c r="P122" s="1059"/>
      <c r="Q122" s="1060"/>
      <c r="R122" s="1060"/>
      <c r="S122" s="1061"/>
      <c r="T122" s="1070" t="s">
        <v>331</v>
      </c>
      <c r="U122" s="1070"/>
      <c r="V122" s="1070"/>
      <c r="W122" s="1071">
        <f>'Food Stock 1-8'!W40+'Food Stock 1-8'!W81</f>
        <v>100</v>
      </c>
      <c r="X122" s="1071"/>
      <c r="Y122" s="1071"/>
      <c r="Z122" s="1072"/>
      <c r="AA122" s="996"/>
      <c r="AB122" s="90"/>
    </row>
    <row r="123" spans="1:28">
      <c r="A123" s="997"/>
      <c r="B123" s="1073"/>
      <c r="C123" s="1073"/>
      <c r="D123" s="1073"/>
      <c r="E123" s="1073"/>
      <c r="F123" s="1073"/>
      <c r="G123" s="1073"/>
      <c r="H123" s="1073"/>
      <c r="I123" s="1073"/>
      <c r="J123" s="1073"/>
      <c r="K123" s="1073"/>
      <c r="L123" s="1073"/>
      <c r="M123" s="1073"/>
      <c r="N123" s="1073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86"/>
      <c r="AA123" s="996"/>
    </row>
  </sheetData>
  <sheetProtection password="E8FA" sheet="1" objects="1" scenarios="1" formatCells="0" formatColumns="0" formatRows="0" selectLockedCells="1"/>
  <mergeCells count="136">
    <mergeCell ref="K40:L40"/>
    <mergeCell ref="B39:C40"/>
    <mergeCell ref="E39:G39"/>
    <mergeCell ref="E40:G40"/>
    <mergeCell ref="H39:J40"/>
    <mergeCell ref="M39:O39"/>
    <mergeCell ref="M40:O40"/>
    <mergeCell ref="P39:S40"/>
    <mergeCell ref="A1:Z1"/>
    <mergeCell ref="V3:W3"/>
    <mergeCell ref="X3:Z3"/>
    <mergeCell ref="AA1:AA41"/>
    <mergeCell ref="A2:A41"/>
    <mergeCell ref="B2:Z2"/>
    <mergeCell ref="B3:D3"/>
    <mergeCell ref="B4:B7"/>
    <mergeCell ref="C4:C7"/>
    <mergeCell ref="B41:N41"/>
    <mergeCell ref="E5:F5"/>
    <mergeCell ref="E6:F6"/>
    <mergeCell ref="G6:H6"/>
    <mergeCell ref="G5:H5"/>
    <mergeCell ref="I6:J6"/>
    <mergeCell ref="D4:D7"/>
    <mergeCell ref="O5:P5"/>
    <mergeCell ref="O6:P6"/>
    <mergeCell ref="E4:P4"/>
    <mergeCell ref="K5:L5"/>
    <mergeCell ref="K6:L6"/>
    <mergeCell ref="M6:N6"/>
    <mergeCell ref="M5:N5"/>
    <mergeCell ref="Z4:Z7"/>
    <mergeCell ref="Q4:Y4"/>
    <mergeCell ref="K39:L39"/>
    <mergeCell ref="E3:U3"/>
    <mergeCell ref="B82:N82"/>
    <mergeCell ref="T39:V39"/>
    <mergeCell ref="T40:V40"/>
    <mergeCell ref="W39:Z39"/>
    <mergeCell ref="W40:Z40"/>
    <mergeCell ref="Q5:S5"/>
    <mergeCell ref="T5:V5"/>
    <mergeCell ref="W5:Y5"/>
    <mergeCell ref="Q6:S6"/>
    <mergeCell ref="T6:V6"/>
    <mergeCell ref="W6:Y6"/>
    <mergeCell ref="I5:J5"/>
    <mergeCell ref="G47:H47"/>
    <mergeCell ref="I47:J47"/>
    <mergeCell ref="K47:L47"/>
    <mergeCell ref="M47:N47"/>
    <mergeCell ref="O47:P47"/>
    <mergeCell ref="Q47:S47"/>
    <mergeCell ref="T47:V47"/>
    <mergeCell ref="W47:Y47"/>
    <mergeCell ref="B80:C81"/>
    <mergeCell ref="E80:G80"/>
    <mergeCell ref="H80:J81"/>
    <mergeCell ref="K80:L80"/>
    <mergeCell ref="M80:O80"/>
    <mergeCell ref="P80:S81"/>
    <mergeCell ref="T80:V80"/>
    <mergeCell ref="W80:Z80"/>
    <mergeCell ref="E81:G81"/>
    <mergeCell ref="K81:L81"/>
    <mergeCell ref="M81:O81"/>
    <mergeCell ref="T81:V81"/>
    <mergeCell ref="W81:Z81"/>
    <mergeCell ref="B123:N123"/>
    <mergeCell ref="A42:Z42"/>
    <mergeCell ref="AA42:AA82"/>
    <mergeCell ref="A43:A82"/>
    <mergeCell ref="B43:Z43"/>
    <mergeCell ref="B44:D44"/>
    <mergeCell ref="E44:O44"/>
    <mergeCell ref="P44:Z44"/>
    <mergeCell ref="B45:B48"/>
    <mergeCell ref="C45:C48"/>
    <mergeCell ref="D45:D48"/>
    <mergeCell ref="E45:P45"/>
    <mergeCell ref="Q45:Y45"/>
    <mergeCell ref="Z45:Z48"/>
    <mergeCell ref="E46:F46"/>
    <mergeCell ref="G46:H46"/>
    <mergeCell ref="I46:J46"/>
    <mergeCell ref="K46:L46"/>
    <mergeCell ref="M46:N46"/>
    <mergeCell ref="O46:P46"/>
    <mergeCell ref="Q46:S46"/>
    <mergeCell ref="T46:V46"/>
    <mergeCell ref="W46:Y46"/>
    <mergeCell ref="E47:F47"/>
    <mergeCell ref="I88:J88"/>
    <mergeCell ref="K88:L88"/>
    <mergeCell ref="M88:N88"/>
    <mergeCell ref="O88:P88"/>
    <mergeCell ref="Q88:S88"/>
    <mergeCell ref="T88:V88"/>
    <mergeCell ref="W88:Y88"/>
    <mergeCell ref="B121:C122"/>
    <mergeCell ref="E121:G121"/>
    <mergeCell ref="H121:J122"/>
    <mergeCell ref="K121:L121"/>
    <mergeCell ref="M121:O121"/>
    <mergeCell ref="P121:S122"/>
    <mergeCell ref="T121:V121"/>
    <mergeCell ref="W121:Z121"/>
    <mergeCell ref="E122:G122"/>
    <mergeCell ref="K122:L122"/>
    <mergeCell ref="M122:O122"/>
    <mergeCell ref="T122:V122"/>
    <mergeCell ref="W122:Z122"/>
    <mergeCell ref="A83:Z83"/>
    <mergeCell ref="AA83:AA123"/>
    <mergeCell ref="A84:A123"/>
    <mergeCell ref="B84:Z84"/>
    <mergeCell ref="B85:D85"/>
    <mergeCell ref="E85:O85"/>
    <mergeCell ref="P85:Z85"/>
    <mergeCell ref="B86:B89"/>
    <mergeCell ref="C86:C89"/>
    <mergeCell ref="D86:D89"/>
    <mergeCell ref="E86:P86"/>
    <mergeCell ref="Q86:Y86"/>
    <mergeCell ref="Z86:Z89"/>
    <mergeCell ref="E87:F87"/>
    <mergeCell ref="G87:H87"/>
    <mergeCell ref="I87:J87"/>
    <mergeCell ref="K87:L87"/>
    <mergeCell ref="M87:N87"/>
    <mergeCell ref="O87:P87"/>
    <mergeCell ref="Q87:S87"/>
    <mergeCell ref="T87:V87"/>
    <mergeCell ref="W87:Y87"/>
    <mergeCell ref="E88:F88"/>
    <mergeCell ref="G88:H88"/>
  </mergeCells>
  <conditionalFormatting sqref="B36:B38 E8:Z38">
    <cfRule type="expression" dxfId="9" priority="5">
      <formula>$B8=0</formula>
    </cfRule>
  </conditionalFormatting>
  <conditionalFormatting sqref="B8:Z38">
    <cfRule type="expression" dxfId="8" priority="6">
      <formula>$D8="holiday"</formula>
    </cfRule>
  </conditionalFormatting>
  <conditionalFormatting sqref="B77:B79 E49:Z79">
    <cfRule type="expression" dxfId="7" priority="4">
      <formula>$B49=0</formula>
    </cfRule>
  </conditionalFormatting>
  <conditionalFormatting sqref="B49:Z79">
    <cfRule type="expression" dxfId="6" priority="3">
      <formula>$D49="holiday"</formula>
    </cfRule>
  </conditionalFormatting>
  <conditionalFormatting sqref="B118:B120 E90:Z120">
    <cfRule type="expression" dxfId="5" priority="2">
      <formula>$B90=0</formula>
    </cfRule>
  </conditionalFormatting>
  <conditionalFormatting sqref="B90:Z120">
    <cfRule type="expression" dxfId="4" priority="1">
      <formula>$D90="holiday"</formula>
    </cfRule>
  </conditionalFormatting>
  <pageMargins left="0.21" right="0.18" top="0.22" bottom="0.16" header="0.19" footer="0.14000000000000001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N54"/>
  <sheetViews>
    <sheetView showGridLines="0" topLeftCell="I1" zoomScale="85" zoomScaleNormal="85" workbookViewId="0">
      <selection activeCell="AL10" sqref="AL10:AL11"/>
    </sheetView>
  </sheetViews>
  <sheetFormatPr defaultColWidth="0" defaultRowHeight="15" zeroHeight="1"/>
  <cols>
    <col min="1" max="1" width="3" style="55" customWidth="1"/>
    <col min="2" max="2" width="3" style="55" hidden="1" customWidth="1"/>
    <col min="3" max="7" width="6.140625" style="87" customWidth="1"/>
    <col min="8" max="12" width="5.85546875" style="87" customWidth="1"/>
    <col min="13" max="13" width="7.140625" style="87" customWidth="1"/>
    <col min="14" max="16" width="5.85546875" style="87" customWidth="1"/>
    <col min="17" max="17" width="6.5703125" style="87" customWidth="1"/>
    <col min="18" max="24" width="7.140625" style="87" customWidth="1"/>
    <col min="25" max="25" width="10.85546875" style="87" customWidth="1"/>
    <col min="26" max="29" width="7.140625" style="87" customWidth="1"/>
    <col min="30" max="32" width="8.140625" style="87" customWidth="1"/>
    <col min="33" max="34" width="7.140625" style="87" customWidth="1"/>
    <col min="35" max="37" width="8.140625" style="87" customWidth="1"/>
    <col min="38" max="38" width="13" style="55" customWidth="1"/>
    <col min="39" max="39" width="4.140625" style="55" customWidth="1"/>
    <col min="40" max="16384" width="9.140625" style="55" hidden="1"/>
  </cols>
  <sheetData>
    <row r="1" spans="1:40" ht="15.75" thickBot="1">
      <c r="A1" s="996"/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6"/>
      <c r="O1" s="996"/>
      <c r="P1" s="996"/>
      <c r="Q1" s="996"/>
      <c r="R1" s="996"/>
      <c r="S1" s="996"/>
      <c r="T1" s="996"/>
      <c r="U1" s="996"/>
      <c r="V1" s="996"/>
      <c r="W1" s="996"/>
      <c r="X1" s="996"/>
      <c r="Y1" s="996"/>
      <c r="Z1" s="996"/>
      <c r="AA1" s="996"/>
      <c r="AB1" s="996"/>
      <c r="AC1" s="996"/>
      <c r="AD1" s="996"/>
      <c r="AE1" s="996"/>
      <c r="AF1" s="996"/>
      <c r="AG1" s="996"/>
      <c r="AH1" s="996"/>
      <c r="AI1" s="996"/>
      <c r="AJ1" s="996"/>
      <c r="AK1" s="996"/>
      <c r="AL1" s="996"/>
      <c r="AM1" s="996"/>
    </row>
    <row r="2" spans="1:40" ht="35.25" customHeight="1" thickBot="1">
      <c r="A2" s="997"/>
      <c r="B2" s="261"/>
      <c r="C2" s="1180" t="s">
        <v>357</v>
      </c>
      <c r="D2" s="1181"/>
      <c r="E2" s="1181"/>
      <c r="F2" s="1181"/>
      <c r="G2" s="1181"/>
      <c r="H2" s="1181"/>
      <c r="I2" s="1181"/>
      <c r="J2" s="1181"/>
      <c r="K2" s="1181"/>
      <c r="L2" s="1181"/>
      <c r="M2" s="1182"/>
      <c r="N2" s="1075" t="str">
        <f>'Food Stock 1-8'!B2</f>
        <v>dk;kZy;%jktdh; mPp ek/;fed fo|ky; jk;eyok³k ¼ckfi.kh½] tks/kiqj</v>
      </c>
      <c r="O2" s="1076"/>
      <c r="P2" s="1076"/>
      <c r="Q2" s="1076"/>
      <c r="R2" s="1076"/>
      <c r="S2" s="1076"/>
      <c r="T2" s="1076"/>
      <c r="U2" s="1076"/>
      <c r="V2" s="1076"/>
      <c r="W2" s="1076"/>
      <c r="X2" s="1076"/>
      <c r="Y2" s="1076"/>
      <c r="Z2" s="1076"/>
      <c r="AA2" s="1076"/>
      <c r="AB2" s="1076"/>
      <c r="AC2" s="1077"/>
      <c r="AD2" s="1207" t="s">
        <v>377</v>
      </c>
      <c r="AE2" s="1208"/>
      <c r="AF2" s="1209"/>
      <c r="AG2" s="1186" t="s">
        <v>367</v>
      </c>
      <c r="AH2" s="1187"/>
      <c r="AI2" s="1188"/>
      <c r="AJ2" s="1188" t="s">
        <v>268</v>
      </c>
      <c r="AK2" s="1188"/>
      <c r="AL2" s="264" t="s">
        <v>269</v>
      </c>
      <c r="AM2" s="996"/>
    </row>
    <row r="3" spans="1:40" ht="35.25" customHeight="1">
      <c r="A3" s="997"/>
      <c r="B3" s="261"/>
      <c r="C3" s="267" t="s">
        <v>358</v>
      </c>
      <c r="D3" s="268" t="s">
        <v>359</v>
      </c>
      <c r="E3" s="268" t="s">
        <v>360</v>
      </c>
      <c r="F3" s="268" t="s">
        <v>361</v>
      </c>
      <c r="G3" s="268" t="s">
        <v>362</v>
      </c>
      <c r="H3" s="269" t="s">
        <v>270</v>
      </c>
      <c r="I3" s="267" t="s">
        <v>363</v>
      </c>
      <c r="J3" s="268" t="s">
        <v>364</v>
      </c>
      <c r="K3" s="268" t="s">
        <v>365</v>
      </c>
      <c r="L3" s="269" t="s">
        <v>270</v>
      </c>
      <c r="M3" s="270" t="s">
        <v>366</v>
      </c>
      <c r="N3" s="1078"/>
      <c r="O3" s="1079"/>
      <c r="P3" s="1079"/>
      <c r="Q3" s="1079"/>
      <c r="R3" s="1079"/>
      <c r="S3" s="1079"/>
      <c r="T3" s="1079"/>
      <c r="U3" s="1079"/>
      <c r="V3" s="1079"/>
      <c r="W3" s="1079"/>
      <c r="X3" s="1079"/>
      <c r="Y3" s="1079"/>
      <c r="Z3" s="1079"/>
      <c r="AA3" s="1079"/>
      <c r="AB3" s="1079"/>
      <c r="AC3" s="1080"/>
      <c r="AD3" s="1210"/>
      <c r="AE3" s="1211"/>
      <c r="AF3" s="1212"/>
      <c r="AG3" s="1189" t="s">
        <v>368</v>
      </c>
      <c r="AH3" s="1190"/>
      <c r="AI3" s="1191"/>
      <c r="AJ3" s="1198" t="s">
        <v>371</v>
      </c>
      <c r="AK3" s="1191"/>
      <c r="AL3" s="265" t="s">
        <v>374</v>
      </c>
      <c r="AM3" s="996"/>
    </row>
    <row r="4" spans="1:40" ht="35.25" customHeight="1" thickBot="1">
      <c r="A4" s="997"/>
      <c r="B4" s="261"/>
      <c r="C4" s="271">
        <f>'School Info'!P12</f>
        <v>53</v>
      </c>
      <c r="D4" s="272">
        <f>'School Info'!P13</f>
        <v>53</v>
      </c>
      <c r="E4" s="272">
        <f>'School Info'!P14</f>
        <v>53</v>
      </c>
      <c r="F4" s="272">
        <f>'School Info'!P15</f>
        <v>53</v>
      </c>
      <c r="G4" s="272">
        <f>'School Info'!P16</f>
        <v>53</v>
      </c>
      <c r="H4" s="273">
        <f>SUM(C4:G4)</f>
        <v>265</v>
      </c>
      <c r="I4" s="271">
        <f>'School Info'!P20</f>
        <v>53</v>
      </c>
      <c r="J4" s="272">
        <f>'School Info'!P21</f>
        <v>53</v>
      </c>
      <c r="K4" s="272">
        <f>'School Info'!P22</f>
        <v>53</v>
      </c>
      <c r="L4" s="273">
        <f>SUM(I4:K4)</f>
        <v>159</v>
      </c>
      <c r="M4" s="274">
        <f>SUM(L4,H4)</f>
        <v>424</v>
      </c>
      <c r="N4" s="1078"/>
      <c r="O4" s="1079"/>
      <c r="P4" s="1079"/>
      <c r="Q4" s="1079"/>
      <c r="R4" s="1079"/>
      <c r="S4" s="1079"/>
      <c r="T4" s="1079"/>
      <c r="U4" s="1079"/>
      <c r="V4" s="1079"/>
      <c r="W4" s="1079"/>
      <c r="X4" s="1079"/>
      <c r="Y4" s="1079"/>
      <c r="Z4" s="1079"/>
      <c r="AA4" s="1079"/>
      <c r="AB4" s="1079"/>
      <c r="AC4" s="1080"/>
      <c r="AD4" s="1090" t="str">
        <f>CONCATENATE('School Info'!I6,"-",'School Info'!K6)</f>
        <v>December-2022</v>
      </c>
      <c r="AE4" s="1091"/>
      <c r="AF4" s="1092"/>
      <c r="AG4" s="1189" t="s">
        <v>369</v>
      </c>
      <c r="AH4" s="1190"/>
      <c r="AI4" s="1191"/>
      <c r="AJ4" s="1198" t="s">
        <v>372</v>
      </c>
      <c r="AK4" s="1191"/>
      <c r="AL4" s="265" t="s">
        <v>375</v>
      </c>
      <c r="AM4" s="996"/>
    </row>
    <row r="5" spans="1:40" ht="35.25" customHeight="1" thickBot="1">
      <c r="A5" s="997"/>
      <c r="B5" s="261"/>
      <c r="C5" s="1213" t="s">
        <v>283</v>
      </c>
      <c r="D5" s="1214"/>
      <c r="E5" s="1214"/>
      <c r="F5" s="1214"/>
      <c r="G5" s="1214"/>
      <c r="H5" s="1214"/>
      <c r="I5" s="1214"/>
      <c r="J5" s="1214"/>
      <c r="K5" s="1214"/>
      <c r="L5" s="1214"/>
      <c r="M5" s="1215"/>
      <c r="N5" s="310"/>
      <c r="O5" s="311"/>
      <c r="P5" s="311"/>
      <c r="Q5" s="311"/>
      <c r="R5" s="1081" t="s">
        <v>377</v>
      </c>
      <c r="S5" s="1081"/>
      <c r="T5" s="1081"/>
      <c r="U5" s="1083" t="str">
        <f>CONCATENATE('School Info'!I6,"-",'School Info'!K6)</f>
        <v>December-2022</v>
      </c>
      <c r="V5" s="1083"/>
      <c r="W5" s="1083"/>
      <c r="X5" s="1083"/>
      <c r="Y5" s="1083"/>
      <c r="Z5" s="311"/>
      <c r="AA5" s="311"/>
      <c r="AB5" s="311"/>
      <c r="AC5" s="312"/>
      <c r="AD5" s="1090"/>
      <c r="AE5" s="1091"/>
      <c r="AF5" s="1092"/>
      <c r="AG5" s="1195" t="s">
        <v>370</v>
      </c>
      <c r="AH5" s="1196"/>
      <c r="AI5" s="1197"/>
      <c r="AJ5" s="1199" t="s">
        <v>373</v>
      </c>
      <c r="AK5" s="1197"/>
      <c r="AL5" s="266" t="s">
        <v>376</v>
      </c>
      <c r="AM5" s="996"/>
    </row>
    <row r="6" spans="1:40" ht="35.25" customHeight="1" thickBot="1">
      <c r="A6" s="997"/>
      <c r="B6" s="261"/>
      <c r="C6" s="1204" t="s">
        <v>356</v>
      </c>
      <c r="D6" s="1205"/>
      <c r="E6" s="1205"/>
      <c r="F6" s="1205"/>
      <c r="G6" s="1205"/>
      <c r="H6" s="1205"/>
      <c r="I6" s="1205"/>
      <c r="J6" s="1205"/>
      <c r="K6" s="1205"/>
      <c r="L6" s="1205"/>
      <c r="M6" s="1206"/>
      <c r="N6" s="319"/>
      <c r="O6" s="320"/>
      <c r="P6" s="320"/>
      <c r="Q6" s="320"/>
      <c r="R6" s="1082"/>
      <c r="S6" s="1082"/>
      <c r="T6" s="1082"/>
      <c r="U6" s="1084"/>
      <c r="V6" s="1084"/>
      <c r="W6" s="1084"/>
      <c r="X6" s="1084"/>
      <c r="Y6" s="1084"/>
      <c r="Z6" s="320"/>
      <c r="AA6" s="320"/>
      <c r="AB6" s="320"/>
      <c r="AC6" s="321"/>
      <c r="AD6" s="1093"/>
      <c r="AE6" s="1094"/>
      <c r="AF6" s="1095"/>
      <c r="AG6" s="1192" t="s">
        <v>378</v>
      </c>
      <c r="AH6" s="1193"/>
      <c r="AI6" s="1193"/>
      <c r="AJ6" s="1193"/>
      <c r="AK6" s="1193"/>
      <c r="AL6" s="1194"/>
      <c r="AM6" s="996"/>
    </row>
    <row r="7" spans="1:40" ht="35.25" customHeight="1">
      <c r="A7" s="997"/>
      <c r="B7" s="261"/>
      <c r="C7" s="1183" t="s">
        <v>379</v>
      </c>
      <c r="D7" s="1226" t="s">
        <v>263</v>
      </c>
      <c r="E7" s="1226"/>
      <c r="F7" s="1226" t="s">
        <v>116</v>
      </c>
      <c r="G7" s="1226"/>
      <c r="H7" s="1229" t="s">
        <v>385</v>
      </c>
      <c r="I7" s="1229"/>
      <c r="J7" s="1229"/>
      <c r="K7" s="1229"/>
      <c r="L7" s="1229"/>
      <c r="M7" s="1229"/>
      <c r="N7" s="1248" t="s">
        <v>387</v>
      </c>
      <c r="O7" s="1248"/>
      <c r="P7" s="1248"/>
      <c r="Q7" s="1248"/>
      <c r="R7" s="1249" t="s">
        <v>388</v>
      </c>
      <c r="S7" s="1245" t="s">
        <v>389</v>
      </c>
      <c r="T7" s="1246"/>
      <c r="U7" s="1247"/>
      <c r="V7" s="1245" t="s">
        <v>393</v>
      </c>
      <c r="W7" s="1246"/>
      <c r="X7" s="1247"/>
      <c r="Y7" s="1242" t="s">
        <v>396</v>
      </c>
      <c r="Z7" s="1235" t="s">
        <v>397</v>
      </c>
      <c r="AA7" s="1236"/>
      <c r="AB7" s="1236"/>
      <c r="AC7" s="1236"/>
      <c r="AD7" s="1236"/>
      <c r="AE7" s="1237"/>
      <c r="AF7" s="1235" t="s">
        <v>401</v>
      </c>
      <c r="AG7" s="1236"/>
      <c r="AH7" s="1236"/>
      <c r="AI7" s="1236"/>
      <c r="AJ7" s="1236"/>
      <c r="AK7" s="1237"/>
      <c r="AL7" s="1177" t="s">
        <v>264</v>
      </c>
      <c r="AM7" s="996"/>
    </row>
    <row r="8" spans="1:40" ht="35.25" customHeight="1">
      <c r="A8" s="997"/>
      <c r="B8" s="261"/>
      <c r="C8" s="1184"/>
      <c r="D8" s="1227"/>
      <c r="E8" s="1227"/>
      <c r="F8" s="1227"/>
      <c r="G8" s="1227"/>
      <c r="H8" s="275" t="s">
        <v>386</v>
      </c>
      <c r="I8" s="275" t="s">
        <v>386</v>
      </c>
      <c r="J8" s="275" t="s">
        <v>386</v>
      </c>
      <c r="K8" s="275" t="s">
        <v>386</v>
      </c>
      <c r="L8" s="275" t="s">
        <v>386</v>
      </c>
      <c r="M8" s="1230" t="s">
        <v>270</v>
      </c>
      <c r="N8" s="275" t="s">
        <v>386</v>
      </c>
      <c r="O8" s="275" t="s">
        <v>386</v>
      </c>
      <c r="P8" s="275" t="s">
        <v>386</v>
      </c>
      <c r="Q8" s="1230" t="s">
        <v>270</v>
      </c>
      <c r="R8" s="1250"/>
      <c r="S8" s="1220" t="s">
        <v>390</v>
      </c>
      <c r="T8" s="1220" t="s">
        <v>392</v>
      </c>
      <c r="U8" s="1222" t="s">
        <v>391</v>
      </c>
      <c r="V8" s="1220" t="s">
        <v>394</v>
      </c>
      <c r="W8" s="1220" t="s">
        <v>395</v>
      </c>
      <c r="X8" s="1222" t="s">
        <v>391</v>
      </c>
      <c r="Y8" s="1239"/>
      <c r="Z8" s="1096" t="s">
        <v>398</v>
      </c>
      <c r="AA8" s="1243" t="s">
        <v>399</v>
      </c>
      <c r="AB8" s="1096" t="s">
        <v>406</v>
      </c>
      <c r="AC8" s="1238" t="s">
        <v>270</v>
      </c>
      <c r="AD8" s="1096" t="s">
        <v>436</v>
      </c>
      <c r="AE8" s="1240" t="s">
        <v>400</v>
      </c>
      <c r="AF8" s="1096" t="s">
        <v>398</v>
      </c>
      <c r="AG8" s="1096" t="s">
        <v>402</v>
      </c>
      <c r="AH8" s="1096" t="s">
        <v>406</v>
      </c>
      <c r="AI8" s="1238" t="s">
        <v>270</v>
      </c>
      <c r="AJ8" s="1096" t="s">
        <v>436</v>
      </c>
      <c r="AK8" s="1240" t="s">
        <v>400</v>
      </c>
      <c r="AL8" s="1178"/>
      <c r="AM8" s="996"/>
    </row>
    <row r="9" spans="1:40" ht="35.25" customHeight="1" thickBot="1">
      <c r="A9" s="997"/>
      <c r="B9" s="261"/>
      <c r="C9" s="1185"/>
      <c r="D9" s="1228"/>
      <c r="E9" s="1228"/>
      <c r="F9" s="1228"/>
      <c r="G9" s="1228"/>
      <c r="H9" s="299">
        <v>1</v>
      </c>
      <c r="I9" s="299">
        <v>2</v>
      </c>
      <c r="J9" s="299">
        <v>3</v>
      </c>
      <c r="K9" s="299">
        <v>4</v>
      </c>
      <c r="L9" s="299">
        <v>5</v>
      </c>
      <c r="M9" s="1231"/>
      <c r="N9" s="299">
        <v>6</v>
      </c>
      <c r="O9" s="299">
        <v>7</v>
      </c>
      <c r="P9" s="299">
        <v>8</v>
      </c>
      <c r="Q9" s="1231"/>
      <c r="R9" s="1251"/>
      <c r="S9" s="1221"/>
      <c r="T9" s="1221"/>
      <c r="U9" s="1223"/>
      <c r="V9" s="1221"/>
      <c r="W9" s="1221"/>
      <c r="X9" s="1223"/>
      <c r="Y9" s="1239"/>
      <c r="Z9" s="1097"/>
      <c r="AA9" s="1244"/>
      <c r="AB9" s="1097"/>
      <c r="AC9" s="1239"/>
      <c r="AD9" s="1097"/>
      <c r="AE9" s="1241"/>
      <c r="AF9" s="1097"/>
      <c r="AG9" s="1097"/>
      <c r="AH9" s="1097"/>
      <c r="AI9" s="1239"/>
      <c r="AJ9" s="1097"/>
      <c r="AK9" s="1241"/>
      <c r="AL9" s="1179"/>
      <c r="AM9" s="996"/>
    </row>
    <row r="10" spans="1:40" s="91" customFormat="1" ht="35.25" customHeight="1">
      <c r="A10" s="997"/>
      <c r="B10" s="261">
        <v>1</v>
      </c>
      <c r="C10" s="1202" t="s">
        <v>380</v>
      </c>
      <c r="D10" s="1219">
        <f>IF($B10&gt;MAX('MIlk-Data Entry'!$K$7:$K$13),0,VLOOKUP($B10,'MIlk-Data Entry'!$K$7:$AN$13,3,0))</f>
        <v>44897</v>
      </c>
      <c r="E10" s="1219"/>
      <c r="F10" s="1219" t="str">
        <f>IF($B10&gt;MAX('MIlk-Data Entry'!$K$7:$K$13),0,VLOOKUP($B10,'MIlk-Data Entry'!$K$7:$AN$13,4,0))</f>
        <v>Friday</v>
      </c>
      <c r="G10" s="1219"/>
      <c r="H10" s="374">
        <f>IF($B10&gt;MAX('MIlk-Data Entry'!$K$7:$K$13),0,VLOOKUP($B10,'MIlk-Data Entry'!$K$7:$AN$13,19,0))</f>
        <v>5</v>
      </c>
      <c r="I10" s="374">
        <f>IF($B10&gt;MAX('MIlk-Data Entry'!$K$7:$K$13),0,VLOOKUP($B10,'MIlk-Data Entry'!$K$7:$AN$13,20,0))</f>
        <v>6</v>
      </c>
      <c r="J10" s="374">
        <f>IF($B10&gt;MAX('MIlk-Data Entry'!$K$7:$K$13),0,VLOOKUP($B10,'MIlk-Data Entry'!$K$7:$AN$13,21,0))</f>
        <v>0</v>
      </c>
      <c r="K10" s="374">
        <f>IF($B10&gt;MAX('MIlk-Data Entry'!$K$7:$K$13),0,VLOOKUP($B10,'MIlk-Data Entry'!$K$7:$AN$13,22,0))</f>
        <v>0</v>
      </c>
      <c r="L10" s="374">
        <f>IF($B10&gt;MAX('MIlk-Data Entry'!$K$7:$K$13),0,VLOOKUP($B10,'MIlk-Data Entry'!$K$7:$AN$13,23,0))</f>
        <v>0</v>
      </c>
      <c r="M10" s="375">
        <f>SUM(H10:L10)</f>
        <v>11</v>
      </c>
      <c r="N10" s="374">
        <f>IF($B10&gt;MAX('MIlk-Data Entry'!$K$7:$K$13),0,VLOOKUP($B10,'MIlk-Data Entry'!$K$7:$AN$13,25,0))</f>
        <v>4</v>
      </c>
      <c r="O10" s="374">
        <f>IF($B10&gt;MAX('MIlk-Data Entry'!$K$7:$K$13),0,VLOOKUP($B10,'MIlk-Data Entry'!$K$7:$AN$13,26,0))</f>
        <v>5</v>
      </c>
      <c r="P10" s="374">
        <f>IF($B10&gt;MAX('MIlk-Data Entry'!$K$7:$K$13),0,VLOOKUP($B10,'MIlk-Data Entry'!$K$7:$AN$13,27,0))</f>
        <v>0</v>
      </c>
      <c r="Q10" s="375">
        <f>SUM(N10:P10)</f>
        <v>9</v>
      </c>
      <c r="R10" s="375">
        <f>M10+Q10</f>
        <v>20</v>
      </c>
      <c r="S10" s="376">
        <f>(M10*'School Info'!$E$19)</f>
        <v>0.16499999999999998</v>
      </c>
      <c r="T10" s="376">
        <f>Q10*'School Info'!$E$20</f>
        <v>0.18</v>
      </c>
      <c r="U10" s="377">
        <f>SUM(S10:T10)</f>
        <v>0.34499999999999997</v>
      </c>
      <c r="V10" s="376">
        <f>(M10*'School Info'!$C$23)/1000</f>
        <v>9.240000000000001E-2</v>
      </c>
      <c r="W10" s="376">
        <f>(Q10*'School Info'!$E$23)/1000</f>
        <v>9.1799999999999993E-2</v>
      </c>
      <c r="X10" s="377">
        <f>SUM(V10:W10)</f>
        <v>0.1842</v>
      </c>
      <c r="Y10" s="1102"/>
      <c r="Z10" s="1171">
        <f>'MIlk-Data Entry'!D10+'MIlk-Data Entry'!E10+'MIlk-Data Entry'!H10-'MIlk-Data Entry'!J10</f>
        <v>40</v>
      </c>
      <c r="AA10" s="1098">
        <f>'MIlk-Data Entry'!BI7</f>
        <v>0</v>
      </c>
      <c r="AB10" s="1098">
        <f>'MIlk-Data Entry'!BK7</f>
        <v>0</v>
      </c>
      <c r="AC10" s="1098">
        <f>SUM(Z10:AB11)</f>
        <v>40</v>
      </c>
      <c r="AD10" s="1098">
        <f>SUM(U10:U11)</f>
        <v>0.34499999999999997</v>
      </c>
      <c r="AE10" s="1173">
        <f>AC10-AD10</f>
        <v>39.655000000000001</v>
      </c>
      <c r="AF10" s="1171">
        <f>'MIlk-Data Entry'!D12+'MIlk-Data Entry'!E12+'MIlk-Data Entry'!H12-'MIlk-Data Entry'!J12</f>
        <v>0</v>
      </c>
      <c r="AG10" s="1098">
        <f>'MIlk-Data Entry'!BJ7</f>
        <v>0</v>
      </c>
      <c r="AH10" s="1098">
        <f>'MIlk-Data Entry'!BL7</f>
        <v>0</v>
      </c>
      <c r="AI10" s="1098">
        <f>SUM(AF10:AH11)</f>
        <v>0</v>
      </c>
      <c r="AJ10" s="1098">
        <f>SUM(X10:X11)</f>
        <v>0.1842</v>
      </c>
      <c r="AK10" s="1173">
        <f>AI10-AJ10</f>
        <v>-0.1842</v>
      </c>
      <c r="AL10" s="1086"/>
      <c r="AM10" s="996"/>
      <c r="AN10" s="90">
        <f>P10+Q10+AF10+AG10</f>
        <v>9</v>
      </c>
    </row>
    <row r="11" spans="1:40" s="91" customFormat="1" ht="35.25" customHeight="1" thickBot="1">
      <c r="A11" s="997"/>
      <c r="B11" s="261">
        <v>2</v>
      </c>
      <c r="C11" s="1203"/>
      <c r="D11" s="1224">
        <f>IF($B11&gt;MAX('MIlk-Data Entry'!$K$7:$K$13),0,VLOOKUP($B11,'MIlk-Data Entry'!$K$7:$AN$13,3,0))</f>
        <v>0</v>
      </c>
      <c r="E11" s="1224"/>
      <c r="F11" s="1224">
        <f>IF($B11&gt;MAX('MIlk-Data Entry'!$K$7:$K$13),0,VLOOKUP($B11,'MIlk-Data Entry'!$K$7:$AN$13,4,0))</f>
        <v>0</v>
      </c>
      <c r="G11" s="1224"/>
      <c r="H11" s="378">
        <f>IF($B11&gt;MAX('MIlk-Data Entry'!$K$7:$K$13),0,VLOOKUP($B11,'MIlk-Data Entry'!$K$7:$AN$13,19,0))</f>
        <v>0</v>
      </c>
      <c r="I11" s="378">
        <f>IF($B11&gt;MAX('MIlk-Data Entry'!$K$7:$K$13),0,VLOOKUP($B11,'MIlk-Data Entry'!$K$7:$AN$13,20,0))</f>
        <v>0</v>
      </c>
      <c r="J11" s="378">
        <f>IF($B11&gt;MAX('MIlk-Data Entry'!$K$7:$K$13),0,VLOOKUP($B11,'MIlk-Data Entry'!$K$7:$AN$13,21,0))</f>
        <v>0</v>
      </c>
      <c r="K11" s="378">
        <f>IF($B11&gt;MAX('MIlk-Data Entry'!$K$7:$K$13),0,VLOOKUP($B11,'MIlk-Data Entry'!$K$7:$AN$13,22,0))</f>
        <v>0</v>
      </c>
      <c r="L11" s="378">
        <f>IF($B11&gt;MAX('MIlk-Data Entry'!$K$7:$K$13),0,VLOOKUP($B11,'MIlk-Data Entry'!$K$7:$AN$13,23,0))</f>
        <v>0</v>
      </c>
      <c r="M11" s="379">
        <f t="shared" ref="M11:M19" si="0">SUM(H11:L11)</f>
        <v>0</v>
      </c>
      <c r="N11" s="378">
        <f>IF($B11&gt;MAX('MIlk-Data Entry'!$K$7:$K$13),0,VLOOKUP($B11,'MIlk-Data Entry'!$K$7:$AN$13,25,0))</f>
        <v>0</v>
      </c>
      <c r="O11" s="378">
        <f>IF($B11&gt;MAX('MIlk-Data Entry'!$K$7:$K$13),0,VLOOKUP($B11,'MIlk-Data Entry'!$K$7:$AN$13,26,0))</f>
        <v>0</v>
      </c>
      <c r="P11" s="378">
        <f>IF($B11&gt;MAX('MIlk-Data Entry'!$K$7:$K$13),0,VLOOKUP($B11,'MIlk-Data Entry'!$K$7:$AN$13,27,0))</f>
        <v>0</v>
      </c>
      <c r="Q11" s="379">
        <f t="shared" ref="Q11:Q19" si="1">SUM(N11:P11)</f>
        <v>0</v>
      </c>
      <c r="R11" s="379">
        <f t="shared" ref="R11:R19" si="2">M11+Q11</f>
        <v>0</v>
      </c>
      <c r="S11" s="380">
        <f>(M11*'School Info'!$E$19)</f>
        <v>0</v>
      </c>
      <c r="T11" s="380">
        <f>Q11*'School Info'!$E$20</f>
        <v>0</v>
      </c>
      <c r="U11" s="381">
        <f t="shared" ref="U11:U19" si="3">SUM(S11:T11)</f>
        <v>0</v>
      </c>
      <c r="V11" s="380">
        <f>(M11*'School Info'!$C$23)/1000</f>
        <v>0</v>
      </c>
      <c r="W11" s="380">
        <f>(Q11*'School Info'!$E$23)/1000</f>
        <v>0</v>
      </c>
      <c r="X11" s="381">
        <f t="shared" ref="X11:X19" si="4">SUM(V11:W11)</f>
        <v>0</v>
      </c>
      <c r="Y11" s="1103"/>
      <c r="Z11" s="1172"/>
      <c r="AA11" s="1099"/>
      <c r="AB11" s="1099"/>
      <c r="AC11" s="1099"/>
      <c r="AD11" s="1099"/>
      <c r="AE11" s="1174"/>
      <c r="AF11" s="1172"/>
      <c r="AG11" s="1099"/>
      <c r="AH11" s="1099"/>
      <c r="AI11" s="1099"/>
      <c r="AJ11" s="1099"/>
      <c r="AK11" s="1174"/>
      <c r="AL11" s="1087"/>
      <c r="AM11" s="996"/>
      <c r="AN11" s="90">
        <f t="shared" ref="AN11:AN20" si="5">P11+Q11+AF11+AG11</f>
        <v>0</v>
      </c>
    </row>
    <row r="12" spans="1:40" s="91" customFormat="1" ht="35.25" customHeight="1">
      <c r="A12" s="997"/>
      <c r="B12" s="261">
        <v>3</v>
      </c>
      <c r="C12" s="1200" t="s">
        <v>381</v>
      </c>
      <c r="D12" s="1225">
        <f>IF($B12&gt;MAX('MIlk-Data Entry'!$K$14:$K$20),0,VLOOKUP($B12,'MIlk-Data Entry'!$K$14:$AN$20,3,0))</f>
        <v>0</v>
      </c>
      <c r="E12" s="1225"/>
      <c r="F12" s="1225">
        <f>IF($B12&gt;MAX('MIlk-Data Entry'!$K$14:$K$20),0,VLOOKUP($B12,'MIlk-Data Entry'!$K$14:$AN$20,4,0))</f>
        <v>0</v>
      </c>
      <c r="G12" s="1225"/>
      <c r="H12" s="300">
        <f>IF($B12&gt;MAX('MIlk-Data Entry'!$K$14:$K$20),0,VLOOKUP($B12,'MIlk-Data Entry'!$K$14:$AN$20,19,0))</f>
        <v>0</v>
      </c>
      <c r="I12" s="300">
        <f>IF($B12&gt;MAX('MIlk-Data Entry'!$K$14:$K$20),0,VLOOKUP($B12,'MIlk-Data Entry'!$K$14:$AN$20,20,0))</f>
        <v>0</v>
      </c>
      <c r="J12" s="300">
        <f>IF($B12&gt;MAX('MIlk-Data Entry'!$K$14:$K$20),0,VLOOKUP($B12,'MIlk-Data Entry'!$K$14:$AN$20,21,0))</f>
        <v>0</v>
      </c>
      <c r="K12" s="300">
        <f>IF($B12&gt;MAX('MIlk-Data Entry'!$K$14:$K$20),0,VLOOKUP($B12,'MIlk-Data Entry'!$K$14:$AN$20,22,0))</f>
        <v>0</v>
      </c>
      <c r="L12" s="300">
        <f>IF($B12&gt;MAX('MIlk-Data Entry'!$K$14:$K$20),0,VLOOKUP($B12,'MIlk-Data Entry'!$K$14:$AN$20,23,0))</f>
        <v>0</v>
      </c>
      <c r="M12" s="301">
        <f t="shared" si="0"/>
        <v>0</v>
      </c>
      <c r="N12" s="300">
        <f>IF($B12&gt;MAX('MIlk-Data Entry'!$K$14:$K$20),0,VLOOKUP($B12,'MIlk-Data Entry'!$K$14:$AN$20,25,0))</f>
        <v>0</v>
      </c>
      <c r="O12" s="300">
        <f>IF($B12&gt;MAX('MIlk-Data Entry'!$K$14:$K$20),0,VLOOKUP($B12,'MIlk-Data Entry'!$K$14:$AN$20,26,0))</f>
        <v>0</v>
      </c>
      <c r="P12" s="300">
        <f>IF($B12&gt;MAX('MIlk-Data Entry'!$K$14:$K$20),0,VLOOKUP($B12,'MIlk-Data Entry'!$K$14:$AN$20,27,0))</f>
        <v>0</v>
      </c>
      <c r="Q12" s="301">
        <f t="shared" si="1"/>
        <v>0</v>
      </c>
      <c r="R12" s="301">
        <f t="shared" si="2"/>
        <v>0</v>
      </c>
      <c r="S12" s="304">
        <f>(M12*'School Info'!$E$19)</f>
        <v>0</v>
      </c>
      <c r="T12" s="304">
        <f>Q12*'School Info'!$E$20</f>
        <v>0</v>
      </c>
      <c r="U12" s="305">
        <f t="shared" si="3"/>
        <v>0</v>
      </c>
      <c r="V12" s="304">
        <f>(M12*'School Info'!$C$23)/1000</f>
        <v>0</v>
      </c>
      <c r="W12" s="304">
        <f>(Q12*'School Info'!$E$23)/1000</f>
        <v>0</v>
      </c>
      <c r="X12" s="305">
        <f t="shared" si="4"/>
        <v>0</v>
      </c>
      <c r="Y12" s="1216"/>
      <c r="Z12" s="1175">
        <f>AE10</f>
        <v>39.655000000000001</v>
      </c>
      <c r="AA12" s="1100">
        <f>'MIlk-Data Entry'!BI14</f>
        <v>0</v>
      </c>
      <c r="AB12" s="1100">
        <f>'MIlk-Data Entry'!BK14</f>
        <v>0</v>
      </c>
      <c r="AC12" s="1100">
        <f t="shared" ref="AC12" si="6">SUM(Z12:AB13)</f>
        <v>39.655000000000001</v>
      </c>
      <c r="AD12" s="1100">
        <f t="shared" ref="AD12" si="7">SUM(U12:U13)</f>
        <v>0</v>
      </c>
      <c r="AE12" s="1169">
        <f t="shared" ref="AE12" si="8">AC12-AD12</f>
        <v>39.655000000000001</v>
      </c>
      <c r="AF12" s="1175">
        <f>AK10</f>
        <v>-0.1842</v>
      </c>
      <c r="AG12" s="1100">
        <f>'MIlk-Data Entry'!BJ14</f>
        <v>0</v>
      </c>
      <c r="AH12" s="1100">
        <f>'MIlk-Data Entry'!BL14</f>
        <v>0</v>
      </c>
      <c r="AI12" s="1100">
        <f t="shared" ref="AI12" si="9">SUM(AF12:AH13)</f>
        <v>-0.1842</v>
      </c>
      <c r="AJ12" s="1100">
        <f t="shared" ref="AJ12" si="10">SUM(X12:X13)</f>
        <v>0</v>
      </c>
      <c r="AK12" s="1169">
        <f t="shared" ref="AK12" si="11">AI12-AJ12</f>
        <v>-0.1842</v>
      </c>
      <c r="AL12" s="1088"/>
      <c r="AM12" s="996"/>
      <c r="AN12" s="90">
        <f t="shared" si="5"/>
        <v>-0.1842</v>
      </c>
    </row>
    <row r="13" spans="1:40" s="91" customFormat="1" ht="35.25" customHeight="1" thickBot="1">
      <c r="A13" s="997"/>
      <c r="B13" s="261">
        <v>6</v>
      </c>
      <c r="C13" s="1201"/>
      <c r="D13" s="1218">
        <f>IF($B13&gt;MAX('MIlk-Data Entry'!$K$14:$K$20),0,VLOOKUP($B13,'MIlk-Data Entry'!$K$14:$AN$20,3,0))</f>
        <v>0</v>
      </c>
      <c r="E13" s="1218"/>
      <c r="F13" s="1218">
        <f>IF($B13&gt;MAX('MIlk-Data Entry'!$K$14:$K$20),0,VLOOKUP($B13,'MIlk-Data Entry'!$K$14:$AN$20,4,0))</f>
        <v>0</v>
      </c>
      <c r="G13" s="1218"/>
      <c r="H13" s="302">
        <f>IF($B13&gt;MAX('MIlk-Data Entry'!$K$14:$K$20),0,VLOOKUP($B13,'MIlk-Data Entry'!$K$14:$AN$20,19,0))</f>
        <v>0</v>
      </c>
      <c r="I13" s="302">
        <f>IF($B13&gt;MAX('MIlk-Data Entry'!$K$14:$K$20),0,VLOOKUP($B13,'MIlk-Data Entry'!$K$14:$AN$20,20,0))</f>
        <v>0</v>
      </c>
      <c r="J13" s="302">
        <f>IF($B13&gt;MAX('MIlk-Data Entry'!$K$14:$K$20),0,VLOOKUP($B13,'MIlk-Data Entry'!$K$14:$AN$20,21,0))</f>
        <v>0</v>
      </c>
      <c r="K13" s="302">
        <f>IF($B13&gt;MAX('MIlk-Data Entry'!$K$14:$K$20),0,VLOOKUP($B13,'MIlk-Data Entry'!$K$14:$AN$20,22,0))</f>
        <v>0</v>
      </c>
      <c r="L13" s="302">
        <f>IF($B13&gt;MAX('MIlk-Data Entry'!$K$14:$K$20),0,VLOOKUP($B13,'MIlk-Data Entry'!$K$14:$AN$20,23,0))</f>
        <v>0</v>
      </c>
      <c r="M13" s="303">
        <f t="shared" si="0"/>
        <v>0</v>
      </c>
      <c r="N13" s="302">
        <f>IF($B13&gt;MAX('MIlk-Data Entry'!$K$14:$K$20),0,VLOOKUP($B13,'MIlk-Data Entry'!$K$14:$AN$20,25,0))</f>
        <v>0</v>
      </c>
      <c r="O13" s="302">
        <f>IF($B13&gt;MAX('MIlk-Data Entry'!$K$14:$K$20),0,VLOOKUP($B13,'MIlk-Data Entry'!$K$14:$AN$20,26,0))</f>
        <v>0</v>
      </c>
      <c r="P13" s="302">
        <f>IF($B13&gt;MAX('MIlk-Data Entry'!$K$14:$K$20),0,VLOOKUP($B13,'MIlk-Data Entry'!$K$14:$AN$20,27,0))</f>
        <v>0</v>
      </c>
      <c r="Q13" s="303">
        <f t="shared" si="1"/>
        <v>0</v>
      </c>
      <c r="R13" s="303">
        <f t="shared" si="2"/>
        <v>0</v>
      </c>
      <c r="S13" s="306">
        <f>(M13*'School Info'!$E$19)</f>
        <v>0</v>
      </c>
      <c r="T13" s="306">
        <f>Q13*'School Info'!$E$20</f>
        <v>0</v>
      </c>
      <c r="U13" s="307">
        <f t="shared" si="3"/>
        <v>0</v>
      </c>
      <c r="V13" s="306">
        <f>(M13*'School Info'!$C$23)/1000</f>
        <v>0</v>
      </c>
      <c r="W13" s="306">
        <f>(Q13*'School Info'!$E$23)/1000</f>
        <v>0</v>
      </c>
      <c r="X13" s="307">
        <f t="shared" si="4"/>
        <v>0</v>
      </c>
      <c r="Y13" s="1217"/>
      <c r="Z13" s="1176"/>
      <c r="AA13" s="1101"/>
      <c r="AB13" s="1101"/>
      <c r="AC13" s="1101"/>
      <c r="AD13" s="1101"/>
      <c r="AE13" s="1170"/>
      <c r="AF13" s="1176"/>
      <c r="AG13" s="1101"/>
      <c r="AH13" s="1101"/>
      <c r="AI13" s="1101"/>
      <c r="AJ13" s="1101"/>
      <c r="AK13" s="1170"/>
      <c r="AL13" s="1089"/>
      <c r="AM13" s="996"/>
      <c r="AN13" s="90">
        <f t="shared" si="5"/>
        <v>0</v>
      </c>
    </row>
    <row r="14" spans="1:40" s="91" customFormat="1" ht="35.25" customHeight="1">
      <c r="A14" s="997"/>
      <c r="B14" s="261">
        <v>4</v>
      </c>
      <c r="C14" s="1202" t="s">
        <v>382</v>
      </c>
      <c r="D14" s="1219">
        <f>IF($B14&gt;MAX('MIlk-Data Entry'!$K$21:$K$27),0,VLOOKUP($B14,'MIlk-Data Entry'!$K$21:$AN$27,3,0))</f>
        <v>0</v>
      </c>
      <c r="E14" s="1219"/>
      <c r="F14" s="1219">
        <f>IF($B14&gt;MAX('MIlk-Data Entry'!$K$21:$K$27),0,VLOOKUP($B14,'MIlk-Data Entry'!$K$21:$AN$27,4,0))</f>
        <v>0</v>
      </c>
      <c r="G14" s="1219"/>
      <c r="H14" s="374">
        <f>IF($B14&gt;MAX('MIlk-Data Entry'!$K$21:$K$27),0,VLOOKUP($B14,'MIlk-Data Entry'!$K$21:$AN$27,19,0))</f>
        <v>0</v>
      </c>
      <c r="I14" s="374">
        <f>IF($B14&gt;MAX('MIlk-Data Entry'!$K$21:$K$27),0,VLOOKUP($B14,'MIlk-Data Entry'!$K$21:$AN$27,20,0))</f>
        <v>0</v>
      </c>
      <c r="J14" s="374">
        <f>IF($B14&gt;MAX('MIlk-Data Entry'!$K$21:$K$27),0,VLOOKUP($B14,'MIlk-Data Entry'!$K$21:$AN$27,21,0))</f>
        <v>0</v>
      </c>
      <c r="K14" s="374">
        <f>IF($B14&gt;MAX('MIlk-Data Entry'!$K$21:$K$27),0,VLOOKUP($B14,'MIlk-Data Entry'!$K$21:$AN$27,22,0))</f>
        <v>0</v>
      </c>
      <c r="L14" s="374">
        <f>IF($B14&gt;MAX('MIlk-Data Entry'!$K$21:$K$27),0,VLOOKUP($B14,'MIlk-Data Entry'!$K$21:$AN$27,23,0))</f>
        <v>0</v>
      </c>
      <c r="M14" s="375">
        <f t="shared" si="0"/>
        <v>0</v>
      </c>
      <c r="N14" s="374">
        <f>IF($B14&gt;MAX('MIlk-Data Entry'!$K$21:$K$27),0,VLOOKUP($B14,'MIlk-Data Entry'!$K$21:$AN$27,25,0))</f>
        <v>0</v>
      </c>
      <c r="O14" s="374">
        <f>IF($B14&gt;MAX('MIlk-Data Entry'!$K$21:$K$27),0,VLOOKUP($B14,'MIlk-Data Entry'!$K$21:$AN$27,26,0))</f>
        <v>0</v>
      </c>
      <c r="P14" s="374">
        <f>IF($B14&gt;MAX('MIlk-Data Entry'!$K$21:$K$27),0,VLOOKUP($B14,'MIlk-Data Entry'!$K$21:$AN$27,27,0))</f>
        <v>0</v>
      </c>
      <c r="Q14" s="375">
        <f t="shared" si="1"/>
        <v>0</v>
      </c>
      <c r="R14" s="375">
        <f t="shared" si="2"/>
        <v>0</v>
      </c>
      <c r="S14" s="376">
        <f>(M14*'School Info'!$E$19)</f>
        <v>0</v>
      </c>
      <c r="T14" s="376">
        <f>Q14*'School Info'!$E$20</f>
        <v>0</v>
      </c>
      <c r="U14" s="377">
        <f t="shared" si="3"/>
        <v>0</v>
      </c>
      <c r="V14" s="376">
        <f>(M14*'School Info'!$C$23)/1000</f>
        <v>0</v>
      </c>
      <c r="W14" s="376">
        <f>(Q14*'School Info'!$E$23)/1000</f>
        <v>0</v>
      </c>
      <c r="X14" s="377">
        <f t="shared" si="4"/>
        <v>0</v>
      </c>
      <c r="Y14" s="1102"/>
      <c r="Z14" s="1171">
        <f t="shared" ref="Z14" si="12">AE12</f>
        <v>39.655000000000001</v>
      </c>
      <c r="AA14" s="1098">
        <f>'MIlk-Data Entry'!BI21</f>
        <v>0</v>
      </c>
      <c r="AB14" s="1098">
        <f>'MIlk-Data Entry'!BK21</f>
        <v>0</v>
      </c>
      <c r="AC14" s="1098">
        <f t="shared" ref="AC14" si="13">SUM(Z14:AB15)</f>
        <v>39.655000000000001</v>
      </c>
      <c r="AD14" s="1098">
        <f t="shared" ref="AD14" si="14">SUM(U14:U15)</f>
        <v>0</v>
      </c>
      <c r="AE14" s="1173">
        <f t="shared" ref="AE14" si="15">AC14-AD14</f>
        <v>39.655000000000001</v>
      </c>
      <c r="AF14" s="1171">
        <f t="shared" ref="AF14" si="16">AK12</f>
        <v>-0.1842</v>
      </c>
      <c r="AG14" s="1098">
        <f>'MIlk-Data Entry'!BJ21</f>
        <v>0</v>
      </c>
      <c r="AH14" s="1098">
        <f>'MIlk-Data Entry'!BL21</f>
        <v>0</v>
      </c>
      <c r="AI14" s="1098">
        <f t="shared" ref="AI14" si="17">SUM(AF14:AH15)</f>
        <v>-0.1842</v>
      </c>
      <c r="AJ14" s="1098">
        <f t="shared" ref="AJ14" si="18">SUM(X14:X15)</f>
        <v>0</v>
      </c>
      <c r="AK14" s="1173">
        <f t="shared" ref="AK14" si="19">AI14-AJ14</f>
        <v>-0.1842</v>
      </c>
      <c r="AL14" s="1086"/>
      <c r="AM14" s="996"/>
      <c r="AN14" s="90">
        <f t="shared" si="5"/>
        <v>-0.1842</v>
      </c>
    </row>
    <row r="15" spans="1:40" s="91" customFormat="1" ht="35.25" customHeight="1" thickBot="1">
      <c r="A15" s="997"/>
      <c r="B15" s="261">
        <v>8</v>
      </c>
      <c r="C15" s="1203"/>
      <c r="D15" s="1224">
        <f>IF($B15&gt;MAX('MIlk-Data Entry'!$K$21:$K$27),0,VLOOKUP($B15,'MIlk-Data Entry'!$K$21:$AN$27,3,0))</f>
        <v>0</v>
      </c>
      <c r="E15" s="1224"/>
      <c r="F15" s="1224">
        <f>IF($B15&gt;MAX('MIlk-Data Entry'!$K$21:$K$27),0,VLOOKUP($B15,'MIlk-Data Entry'!$K$21:$AN$27,4,0))</f>
        <v>0</v>
      </c>
      <c r="G15" s="1224"/>
      <c r="H15" s="378">
        <f>IF($B15&gt;MAX('MIlk-Data Entry'!$K$21:$K$27),0,VLOOKUP($B15,'MIlk-Data Entry'!$K$21:$AN$27,19,0))</f>
        <v>0</v>
      </c>
      <c r="I15" s="378">
        <f>IF($B15&gt;MAX('MIlk-Data Entry'!$K$21:$K$27),0,VLOOKUP($B15,'MIlk-Data Entry'!$K$21:$AN$27,20,0))</f>
        <v>0</v>
      </c>
      <c r="J15" s="378">
        <f>IF($B15&gt;MAX('MIlk-Data Entry'!$K$21:$K$27),0,VLOOKUP($B15,'MIlk-Data Entry'!$K$21:$AN$27,21,0))</f>
        <v>0</v>
      </c>
      <c r="K15" s="378">
        <f>IF($B15&gt;MAX('MIlk-Data Entry'!$K$21:$K$27),0,VLOOKUP($B15,'MIlk-Data Entry'!$K$21:$AN$27,22,0))</f>
        <v>0</v>
      </c>
      <c r="L15" s="378">
        <f>IF($B15&gt;MAX('MIlk-Data Entry'!$K$21:$K$27),0,VLOOKUP($B15,'MIlk-Data Entry'!$K$21:$AN$27,23,0))</f>
        <v>0</v>
      </c>
      <c r="M15" s="379">
        <f t="shared" si="0"/>
        <v>0</v>
      </c>
      <c r="N15" s="378">
        <f>IF($B15&gt;MAX('MIlk-Data Entry'!$K$21:$K$27),0,VLOOKUP($B15,'MIlk-Data Entry'!$K$21:$AN$27,25,0))</f>
        <v>0</v>
      </c>
      <c r="O15" s="378">
        <f>IF($B15&gt;MAX('MIlk-Data Entry'!$K$21:$K$27),0,VLOOKUP($B15,'MIlk-Data Entry'!$K$21:$AN$27,26,0))</f>
        <v>0</v>
      </c>
      <c r="P15" s="378">
        <f>IF($B15&gt;MAX('MIlk-Data Entry'!$K$21:$K$27),0,VLOOKUP($B15,'MIlk-Data Entry'!$K$21:$AN$27,27,0))</f>
        <v>0</v>
      </c>
      <c r="Q15" s="379">
        <f t="shared" si="1"/>
        <v>0</v>
      </c>
      <c r="R15" s="379">
        <f t="shared" si="2"/>
        <v>0</v>
      </c>
      <c r="S15" s="380">
        <f>(M15*'School Info'!$E$19)</f>
        <v>0</v>
      </c>
      <c r="T15" s="380">
        <f>Q15*'School Info'!$E$20</f>
        <v>0</v>
      </c>
      <c r="U15" s="381">
        <f t="shared" si="3"/>
        <v>0</v>
      </c>
      <c r="V15" s="380">
        <f>(M15*'School Info'!$C$23)/1000</f>
        <v>0</v>
      </c>
      <c r="W15" s="380">
        <f>(Q15*'School Info'!$E$23)/1000</f>
        <v>0</v>
      </c>
      <c r="X15" s="381">
        <f t="shared" si="4"/>
        <v>0</v>
      </c>
      <c r="Y15" s="1103"/>
      <c r="Z15" s="1172"/>
      <c r="AA15" s="1099"/>
      <c r="AB15" s="1099"/>
      <c r="AC15" s="1099"/>
      <c r="AD15" s="1099"/>
      <c r="AE15" s="1174"/>
      <c r="AF15" s="1172"/>
      <c r="AG15" s="1099"/>
      <c r="AH15" s="1099"/>
      <c r="AI15" s="1099"/>
      <c r="AJ15" s="1099"/>
      <c r="AK15" s="1174"/>
      <c r="AL15" s="1087"/>
      <c r="AM15" s="996"/>
      <c r="AN15" s="90">
        <f t="shared" si="5"/>
        <v>0</v>
      </c>
    </row>
    <row r="16" spans="1:40" s="91" customFormat="1" ht="35.25" customHeight="1">
      <c r="A16" s="997"/>
      <c r="B16" s="261">
        <v>5</v>
      </c>
      <c r="C16" s="1200" t="s">
        <v>383</v>
      </c>
      <c r="D16" s="1225">
        <f>IF($B16&gt;MAX('MIlk-Data Entry'!$K$28:$K$34),0,VLOOKUP($B16,'MIlk-Data Entry'!$K$28:$AN$34,3,0))</f>
        <v>0</v>
      </c>
      <c r="E16" s="1225"/>
      <c r="F16" s="1225">
        <f>IF($B16&gt;MAX('MIlk-Data Entry'!$K$28:$K$34),0,VLOOKUP($B16,'MIlk-Data Entry'!$K$28:$AN$34,4,0))</f>
        <v>0</v>
      </c>
      <c r="G16" s="1225"/>
      <c r="H16" s="300">
        <f>IF($B16&gt;MAX('MIlk-Data Entry'!$K$28:$K$34),0,VLOOKUP($B16,'MIlk-Data Entry'!$K$28:$AN$34,19,0))</f>
        <v>0</v>
      </c>
      <c r="I16" s="300">
        <f>IF($B16&gt;MAX('MIlk-Data Entry'!$K$28:$K$34),0,VLOOKUP($B16,'MIlk-Data Entry'!$K$28:$AN$34,20,0))</f>
        <v>0</v>
      </c>
      <c r="J16" s="300">
        <f>IF($B16&gt;MAX('MIlk-Data Entry'!$K$28:$K$34),0,VLOOKUP($B16,'MIlk-Data Entry'!$K$28:$AN$34,21,0))</f>
        <v>0</v>
      </c>
      <c r="K16" s="300">
        <f>IF($B16&gt;MAX('MIlk-Data Entry'!$K$28:$K$34),0,VLOOKUP($B16,'MIlk-Data Entry'!$K$28:$AN$34,22,0))</f>
        <v>0</v>
      </c>
      <c r="L16" s="300">
        <f>IF($B16&gt;MAX('MIlk-Data Entry'!$K$28:$K$34),0,VLOOKUP($B16,'MIlk-Data Entry'!$K$28:$AN$34,23,0))</f>
        <v>0</v>
      </c>
      <c r="M16" s="301">
        <f t="shared" si="0"/>
        <v>0</v>
      </c>
      <c r="N16" s="300">
        <f>IF($B16&gt;MAX('MIlk-Data Entry'!$K$28:$K$34),0,VLOOKUP($B16,'MIlk-Data Entry'!$K$28:$AN$34,25,0))</f>
        <v>0</v>
      </c>
      <c r="O16" s="300">
        <f>IF($B16&gt;MAX('MIlk-Data Entry'!$K$28:$K$34),0,VLOOKUP($B16,'MIlk-Data Entry'!$K$28:$AN$34,26,0))</f>
        <v>0</v>
      </c>
      <c r="P16" s="300">
        <f>IF($B16&gt;MAX('MIlk-Data Entry'!$K$28:$K$34),0,VLOOKUP($B16,'MIlk-Data Entry'!$K$28:$AN$34,27,0))</f>
        <v>0</v>
      </c>
      <c r="Q16" s="301">
        <f t="shared" si="1"/>
        <v>0</v>
      </c>
      <c r="R16" s="301">
        <f t="shared" si="2"/>
        <v>0</v>
      </c>
      <c r="S16" s="304">
        <f>(M16*'School Info'!$E$19)</f>
        <v>0</v>
      </c>
      <c r="T16" s="304">
        <f>Q16*'School Info'!$E$20</f>
        <v>0</v>
      </c>
      <c r="U16" s="305">
        <f t="shared" si="3"/>
        <v>0</v>
      </c>
      <c r="V16" s="304">
        <f>(M16*'School Info'!$C$23)/1000</f>
        <v>0</v>
      </c>
      <c r="W16" s="304">
        <f>(Q16*'School Info'!$E$23)/1000</f>
        <v>0</v>
      </c>
      <c r="X16" s="305">
        <f t="shared" si="4"/>
        <v>0</v>
      </c>
      <c r="Y16" s="1216"/>
      <c r="Z16" s="1175">
        <f t="shared" ref="Z16" si="20">AE14</f>
        <v>39.655000000000001</v>
      </c>
      <c r="AA16" s="1100">
        <f>'MIlk-Data Entry'!BI28</f>
        <v>0</v>
      </c>
      <c r="AB16" s="1100">
        <f>'MIlk-Data Entry'!BK28</f>
        <v>0</v>
      </c>
      <c r="AC16" s="1100">
        <f t="shared" ref="AC16" si="21">SUM(Z16:AB17)</f>
        <v>39.655000000000001</v>
      </c>
      <c r="AD16" s="1100">
        <f t="shared" ref="AD16" si="22">SUM(U16:U17)</f>
        <v>0</v>
      </c>
      <c r="AE16" s="1169">
        <f t="shared" ref="AE16" si="23">AC16-AD16</f>
        <v>39.655000000000001</v>
      </c>
      <c r="AF16" s="1175">
        <f t="shared" ref="AF16" si="24">AK14</f>
        <v>-0.1842</v>
      </c>
      <c r="AG16" s="1100">
        <f>'MIlk-Data Entry'!BJ28</f>
        <v>0</v>
      </c>
      <c r="AH16" s="1100">
        <f>'MIlk-Data Entry'!BL28</f>
        <v>0</v>
      </c>
      <c r="AI16" s="1100">
        <f t="shared" ref="AI16" si="25">SUM(AF16:AH17)</f>
        <v>-0.1842</v>
      </c>
      <c r="AJ16" s="1100">
        <f t="shared" ref="AJ16" si="26">SUM(X16:X17)</f>
        <v>0</v>
      </c>
      <c r="AK16" s="1169">
        <f t="shared" ref="AK16" si="27">AI16-AJ16</f>
        <v>-0.1842</v>
      </c>
      <c r="AL16" s="1088"/>
      <c r="AM16" s="996"/>
      <c r="AN16" s="90">
        <f t="shared" si="5"/>
        <v>-0.1842</v>
      </c>
    </row>
    <row r="17" spans="1:40" s="91" customFormat="1" ht="35.25" customHeight="1" thickBot="1">
      <c r="A17" s="997"/>
      <c r="B17" s="261">
        <v>10</v>
      </c>
      <c r="C17" s="1201"/>
      <c r="D17" s="1218">
        <f>IF($B17&gt;MAX('MIlk-Data Entry'!$K$28:$K$34),0,VLOOKUP($B17,'MIlk-Data Entry'!$K$28:$AN$34,3,0))</f>
        <v>0</v>
      </c>
      <c r="E17" s="1218"/>
      <c r="F17" s="1218">
        <f>IF($B17&gt;MAX('MIlk-Data Entry'!$K$28:$K$34),0,VLOOKUP($B17,'MIlk-Data Entry'!$K$28:$AN$34,4,0))</f>
        <v>0</v>
      </c>
      <c r="G17" s="1218"/>
      <c r="H17" s="302">
        <f>IF($B17&gt;MAX('MIlk-Data Entry'!$K$28:$K$34),0,VLOOKUP($B17,'MIlk-Data Entry'!$K$28:$AN$34,19,0))</f>
        <v>0</v>
      </c>
      <c r="I17" s="302">
        <f>IF($B17&gt;MAX('MIlk-Data Entry'!$K$28:$K$34),0,VLOOKUP($B17,'MIlk-Data Entry'!$K$28:$AN$34,20,0))</f>
        <v>0</v>
      </c>
      <c r="J17" s="302">
        <f>IF($B17&gt;MAX('MIlk-Data Entry'!$K$28:$K$34),0,VLOOKUP($B17,'MIlk-Data Entry'!$K$28:$AN$34,21,0))</f>
        <v>0</v>
      </c>
      <c r="K17" s="302">
        <f>IF($B17&gt;MAX('MIlk-Data Entry'!$K$28:$K$34),0,VLOOKUP($B17,'MIlk-Data Entry'!$K$28:$AN$34,22,0))</f>
        <v>0</v>
      </c>
      <c r="L17" s="302">
        <f>IF($B17&gt;MAX('MIlk-Data Entry'!$K$28:$K$34),0,VLOOKUP($B17,'MIlk-Data Entry'!$K$28:$AN$34,23,0))</f>
        <v>0</v>
      </c>
      <c r="M17" s="303">
        <f t="shared" si="0"/>
        <v>0</v>
      </c>
      <c r="N17" s="302">
        <f>IF($B17&gt;MAX('MIlk-Data Entry'!$K$28:$K$34),0,VLOOKUP($B17,'MIlk-Data Entry'!$K$28:$AN$34,25,0))</f>
        <v>0</v>
      </c>
      <c r="O17" s="302">
        <f>IF($B17&gt;MAX('MIlk-Data Entry'!$K$28:$K$34),0,VLOOKUP($B17,'MIlk-Data Entry'!$K$28:$AN$34,26,0))</f>
        <v>0</v>
      </c>
      <c r="P17" s="302">
        <f>IF($B17&gt;MAX('MIlk-Data Entry'!$K$28:$K$34),0,VLOOKUP($B17,'MIlk-Data Entry'!$K$28:$AN$34,27,0))</f>
        <v>0</v>
      </c>
      <c r="Q17" s="303">
        <f t="shared" si="1"/>
        <v>0</v>
      </c>
      <c r="R17" s="303">
        <f t="shared" si="2"/>
        <v>0</v>
      </c>
      <c r="S17" s="306">
        <f>(M17*'School Info'!$E$19)</f>
        <v>0</v>
      </c>
      <c r="T17" s="306">
        <f>Q17*'School Info'!$E$20</f>
        <v>0</v>
      </c>
      <c r="U17" s="307">
        <f t="shared" si="3"/>
        <v>0</v>
      </c>
      <c r="V17" s="306">
        <f>(M17*'School Info'!$C$23)/1000</f>
        <v>0</v>
      </c>
      <c r="W17" s="306">
        <f>(Q17*'School Info'!$E$23)/1000</f>
        <v>0</v>
      </c>
      <c r="X17" s="307">
        <f t="shared" si="4"/>
        <v>0</v>
      </c>
      <c r="Y17" s="1217"/>
      <c r="Z17" s="1176"/>
      <c r="AA17" s="1101"/>
      <c r="AB17" s="1101"/>
      <c r="AC17" s="1101"/>
      <c r="AD17" s="1101"/>
      <c r="AE17" s="1170"/>
      <c r="AF17" s="1176"/>
      <c r="AG17" s="1101"/>
      <c r="AH17" s="1101"/>
      <c r="AI17" s="1101"/>
      <c r="AJ17" s="1101"/>
      <c r="AK17" s="1170"/>
      <c r="AL17" s="1089"/>
      <c r="AM17" s="996"/>
      <c r="AN17" s="90">
        <f t="shared" si="5"/>
        <v>0</v>
      </c>
    </row>
    <row r="18" spans="1:40" s="91" customFormat="1" ht="35.25" customHeight="1">
      <c r="A18" s="997"/>
      <c r="B18" s="261">
        <v>7</v>
      </c>
      <c r="C18" s="1202" t="s">
        <v>384</v>
      </c>
      <c r="D18" s="1219">
        <f>IF($B18&gt;MAX('MIlk-Data Entry'!$K$35:$K$37),0,VLOOKUP($B18,'MIlk-Data Entry'!$K$35:$AN$37,3,0))</f>
        <v>0</v>
      </c>
      <c r="E18" s="1219"/>
      <c r="F18" s="1219">
        <f>IF($B18&gt;MAX('MIlk-Data Entry'!$K$35:$K$37),0,VLOOKUP($B18,'MIlk-Data Entry'!$K$35:$AN$37,4,0))</f>
        <v>0</v>
      </c>
      <c r="G18" s="1219"/>
      <c r="H18" s="374">
        <f>IF($B18&gt;MAX('MIlk-Data Entry'!$K$35:$K$37),0,VLOOKUP($B18,'MIlk-Data Entry'!$K$35:$AN$37,19,0))</f>
        <v>0</v>
      </c>
      <c r="I18" s="374">
        <f>IF($B18&gt;MAX('MIlk-Data Entry'!$K$35:$K$37),0,VLOOKUP($B18,'MIlk-Data Entry'!$K$35:$AN$37,20,0))</f>
        <v>0</v>
      </c>
      <c r="J18" s="374">
        <f>IF($B18&gt;MAX('MIlk-Data Entry'!$K$35:$K$37),0,VLOOKUP($B18,'MIlk-Data Entry'!$K$35:$AN$37,21,0))</f>
        <v>0</v>
      </c>
      <c r="K18" s="374">
        <f>IF($B18&gt;MAX('MIlk-Data Entry'!$K$35:$K$37),0,VLOOKUP($B18,'MIlk-Data Entry'!$K$35:$AN$37,22,0))</f>
        <v>0</v>
      </c>
      <c r="L18" s="374">
        <f>IF($B18&gt;MAX('MIlk-Data Entry'!$K$35:$K$37),0,VLOOKUP($B18,'MIlk-Data Entry'!$K$35:$AN$37,23,0))</f>
        <v>0</v>
      </c>
      <c r="M18" s="375">
        <f t="shared" si="0"/>
        <v>0</v>
      </c>
      <c r="N18" s="374">
        <f>IF($B18&gt;MAX('MIlk-Data Entry'!$K$35:$K$37),0,VLOOKUP($B18,'MIlk-Data Entry'!$K$35:$AN$37,25,0))</f>
        <v>0</v>
      </c>
      <c r="O18" s="374">
        <f>IF($B18&gt;MAX('MIlk-Data Entry'!$K$35:$K$37),0,VLOOKUP($B18,'MIlk-Data Entry'!$K$35:$AN$37,26,0))</f>
        <v>0</v>
      </c>
      <c r="P18" s="374">
        <f>IF($B18&gt;MAX('MIlk-Data Entry'!$K$35:$K$37),0,VLOOKUP($B18,'MIlk-Data Entry'!$K$35:$AN$37,27,0))</f>
        <v>0</v>
      </c>
      <c r="Q18" s="375">
        <f t="shared" si="1"/>
        <v>0</v>
      </c>
      <c r="R18" s="375">
        <f t="shared" si="2"/>
        <v>0</v>
      </c>
      <c r="S18" s="376">
        <f>(M18*'School Info'!$E$19)</f>
        <v>0</v>
      </c>
      <c r="T18" s="376">
        <f>Q18*'School Info'!$E$20</f>
        <v>0</v>
      </c>
      <c r="U18" s="377">
        <f t="shared" si="3"/>
        <v>0</v>
      </c>
      <c r="V18" s="376">
        <f>(M18*'School Info'!$C$23)/1000</f>
        <v>0</v>
      </c>
      <c r="W18" s="376">
        <f>(Q18*'School Info'!$E$23)/1000</f>
        <v>0</v>
      </c>
      <c r="X18" s="377">
        <f t="shared" si="4"/>
        <v>0</v>
      </c>
      <c r="Y18" s="1102"/>
      <c r="Z18" s="1171">
        <f t="shared" ref="Z18" si="28">AE16</f>
        <v>39.655000000000001</v>
      </c>
      <c r="AA18" s="1098">
        <f>'MIlk-Data Entry'!BI35</f>
        <v>0</v>
      </c>
      <c r="AB18" s="1098">
        <f>'MIlk-Data Entry'!BK35</f>
        <v>0</v>
      </c>
      <c r="AC18" s="1098">
        <f t="shared" ref="AC18" si="29">SUM(Z18:AB19)</f>
        <v>39.655000000000001</v>
      </c>
      <c r="AD18" s="1098">
        <f t="shared" ref="AD18" si="30">SUM(U18:U19)</f>
        <v>0</v>
      </c>
      <c r="AE18" s="1173">
        <f t="shared" ref="AE18" si="31">AC18-AD18</f>
        <v>39.655000000000001</v>
      </c>
      <c r="AF18" s="1171">
        <f t="shared" ref="AF18" si="32">AK16</f>
        <v>-0.1842</v>
      </c>
      <c r="AG18" s="1098">
        <f>'MIlk-Data Entry'!BJ35</f>
        <v>0</v>
      </c>
      <c r="AH18" s="1098">
        <f>'MIlk-Data Entry'!BL35</f>
        <v>0</v>
      </c>
      <c r="AI18" s="1098">
        <f t="shared" ref="AI18" si="33">SUM(AF18:AH19)</f>
        <v>-0.1842</v>
      </c>
      <c r="AJ18" s="1098">
        <f t="shared" ref="AJ18" si="34">SUM(X18:X19)</f>
        <v>0</v>
      </c>
      <c r="AK18" s="1173">
        <f t="shared" ref="AK18" si="35">AI18-AJ18</f>
        <v>-0.1842</v>
      </c>
      <c r="AL18" s="1086"/>
      <c r="AM18" s="996"/>
      <c r="AN18" s="90">
        <f t="shared" si="5"/>
        <v>-0.1842</v>
      </c>
    </row>
    <row r="19" spans="1:40" s="91" customFormat="1" ht="35.25" customHeight="1" thickBot="1">
      <c r="A19" s="997"/>
      <c r="B19" s="261">
        <v>14</v>
      </c>
      <c r="C19" s="1203"/>
      <c r="D19" s="1224">
        <f>IF($B19&gt;MAX('MIlk-Data Entry'!$K$35:$K$37),0,VLOOKUP($B19,'MIlk-Data Entry'!$K$35:$AN$37,3,0))</f>
        <v>0</v>
      </c>
      <c r="E19" s="1224"/>
      <c r="F19" s="1224">
        <f>IF($B19&gt;MAX('MIlk-Data Entry'!$K$35:$K$37),0,VLOOKUP($B19,'MIlk-Data Entry'!$K$35:$AN$37,4,0))</f>
        <v>0</v>
      </c>
      <c r="G19" s="1224"/>
      <c r="H19" s="378">
        <f>IF($B19&gt;MAX('MIlk-Data Entry'!$K$35:$K$37),0,VLOOKUP($B19,'MIlk-Data Entry'!$K$35:$AN$37,19,0))</f>
        <v>0</v>
      </c>
      <c r="I19" s="378">
        <f>IF($B19&gt;MAX('MIlk-Data Entry'!$K$35:$K$37),0,VLOOKUP($B19,'MIlk-Data Entry'!$K$35:$AN$37,20,0))</f>
        <v>0</v>
      </c>
      <c r="J19" s="378">
        <f>IF($B19&gt;MAX('MIlk-Data Entry'!$K$35:$K$37),0,VLOOKUP($B19,'MIlk-Data Entry'!$K$35:$AN$37,21,0))</f>
        <v>0</v>
      </c>
      <c r="K19" s="378">
        <f>IF($B19&gt;MAX('MIlk-Data Entry'!$K$35:$K$37),0,VLOOKUP($B19,'MIlk-Data Entry'!$K$35:$AN$37,22,0))</f>
        <v>0</v>
      </c>
      <c r="L19" s="378">
        <f>IF($B19&gt;MAX('MIlk-Data Entry'!$K$35:$K$37),0,VLOOKUP($B19,'MIlk-Data Entry'!$K$35:$AN$37,23,0))</f>
        <v>0</v>
      </c>
      <c r="M19" s="379">
        <f t="shared" si="0"/>
        <v>0</v>
      </c>
      <c r="N19" s="378">
        <f>IF($B19&gt;MAX('MIlk-Data Entry'!$K$35:$K$37),0,VLOOKUP($B19,'MIlk-Data Entry'!$K$35:$AN$37,25,0))</f>
        <v>0</v>
      </c>
      <c r="O19" s="378">
        <f>IF($B19&gt;MAX('MIlk-Data Entry'!$K$35:$K$37),0,VLOOKUP($B19,'MIlk-Data Entry'!$K$35:$AN$37,26,0))</f>
        <v>0</v>
      </c>
      <c r="P19" s="378">
        <f>IF($B19&gt;MAX('MIlk-Data Entry'!$K$35:$K$37),0,VLOOKUP($B19,'MIlk-Data Entry'!$K$35:$AN$37,27,0))</f>
        <v>0</v>
      </c>
      <c r="Q19" s="379">
        <f t="shared" si="1"/>
        <v>0</v>
      </c>
      <c r="R19" s="379">
        <f t="shared" si="2"/>
        <v>0</v>
      </c>
      <c r="S19" s="380">
        <f>(M19*'School Info'!$E$19)</f>
        <v>0</v>
      </c>
      <c r="T19" s="380">
        <f>Q19*'School Info'!$E$20</f>
        <v>0</v>
      </c>
      <c r="U19" s="381">
        <f t="shared" si="3"/>
        <v>0</v>
      </c>
      <c r="V19" s="380">
        <f>(M19*'School Info'!$C$23)/1000</f>
        <v>0</v>
      </c>
      <c r="W19" s="380">
        <f>(Q19*'School Info'!$E$23)/1000</f>
        <v>0</v>
      </c>
      <c r="X19" s="381">
        <f t="shared" si="4"/>
        <v>0</v>
      </c>
      <c r="Y19" s="1103"/>
      <c r="Z19" s="1172"/>
      <c r="AA19" s="1099"/>
      <c r="AB19" s="1099"/>
      <c r="AC19" s="1099"/>
      <c r="AD19" s="1099"/>
      <c r="AE19" s="1174"/>
      <c r="AF19" s="1172"/>
      <c r="AG19" s="1099"/>
      <c r="AH19" s="1099"/>
      <c r="AI19" s="1099"/>
      <c r="AJ19" s="1099"/>
      <c r="AK19" s="1174"/>
      <c r="AL19" s="1087"/>
      <c r="AM19" s="996"/>
      <c r="AN19" s="90">
        <f t="shared" si="5"/>
        <v>0</v>
      </c>
    </row>
    <row r="20" spans="1:40" s="91" customFormat="1" ht="78" customHeight="1" thickBot="1">
      <c r="A20" s="997"/>
      <c r="B20" s="261"/>
      <c r="C20" s="1232" t="s">
        <v>403</v>
      </c>
      <c r="D20" s="1233"/>
      <c r="E20" s="1233"/>
      <c r="F20" s="1233"/>
      <c r="G20" s="1234"/>
      <c r="H20" s="370">
        <f t="shared" ref="H20" si="36">SUM(H10:H19)</f>
        <v>5</v>
      </c>
      <c r="I20" s="370">
        <f t="shared" ref="I20" si="37">SUM(I10:I19)</f>
        <v>6</v>
      </c>
      <c r="J20" s="370">
        <f t="shared" ref="J20" si="38">SUM(J10:J19)</f>
        <v>0</v>
      </c>
      <c r="K20" s="370">
        <f t="shared" ref="K20" si="39">SUM(K10:K19)</f>
        <v>0</v>
      </c>
      <c r="L20" s="370">
        <f t="shared" ref="L20" si="40">SUM(L10:L19)</f>
        <v>0</v>
      </c>
      <c r="M20" s="370">
        <f t="shared" ref="M20" si="41">SUM(M10:M19)</f>
        <v>11</v>
      </c>
      <c r="N20" s="370">
        <f t="shared" ref="N20" si="42">SUM(N10:N19)</f>
        <v>4</v>
      </c>
      <c r="O20" s="370">
        <f t="shared" ref="O20" si="43">SUM(O10:O19)</f>
        <v>5</v>
      </c>
      <c r="P20" s="370">
        <f t="shared" ref="P20" si="44">SUM(P10:P19)</f>
        <v>0</v>
      </c>
      <c r="Q20" s="370">
        <f t="shared" ref="Q20" si="45">SUM(Q10:Q19)</f>
        <v>9</v>
      </c>
      <c r="R20" s="370">
        <f t="shared" ref="R20" si="46">SUM(R10:R19)</f>
        <v>20</v>
      </c>
      <c r="S20" s="371">
        <f t="shared" ref="S20" si="47">SUM(S10:S19)</f>
        <v>0.16499999999999998</v>
      </c>
      <c r="T20" s="371">
        <f t="shared" ref="T20" si="48">SUM(T10:T19)</f>
        <v>0.18</v>
      </c>
      <c r="U20" s="371">
        <f t="shared" ref="U20" si="49">SUM(U10:U19)</f>
        <v>0.34499999999999997</v>
      </c>
      <c r="V20" s="371">
        <f t="shared" ref="V20" si="50">SUM(V10:V19)</f>
        <v>9.240000000000001E-2</v>
      </c>
      <c r="W20" s="371">
        <f t="shared" ref="W20" si="51">SUM(W10:W19)</f>
        <v>9.1799999999999993E-2</v>
      </c>
      <c r="X20" s="371">
        <f t="shared" ref="X20" si="52">SUM(X10:X19)</f>
        <v>0.1842</v>
      </c>
      <c r="Y20" s="372" t="s">
        <v>407</v>
      </c>
      <c r="Z20" s="371">
        <f>AE18</f>
        <v>39.655000000000001</v>
      </c>
      <c r="AA20" s="371">
        <f t="shared" ref="AA20" si="53">SUM(AA10:AA19)</f>
        <v>0</v>
      </c>
      <c r="AB20" s="371">
        <f t="shared" ref="AB20" si="54">SUM(AB10:AB19)</f>
        <v>0</v>
      </c>
      <c r="AC20" s="371">
        <f>Z20+AA20+AB20</f>
        <v>39.655000000000001</v>
      </c>
      <c r="AD20" s="371">
        <f t="shared" ref="AD20" si="55">SUM(AD10:AD19)</f>
        <v>0.34499999999999997</v>
      </c>
      <c r="AE20" s="371">
        <f>AC20-AD20</f>
        <v>39.31</v>
      </c>
      <c r="AF20" s="371">
        <f>AK18</f>
        <v>-0.1842</v>
      </c>
      <c r="AG20" s="371">
        <f t="shared" ref="AG20" si="56">SUM(AG10:AG19)</f>
        <v>0</v>
      </c>
      <c r="AH20" s="371">
        <f t="shared" ref="AH20" si="57">SUM(AH10:AH19)</f>
        <v>0</v>
      </c>
      <c r="AI20" s="371">
        <f>AF20+AG20+AH20</f>
        <v>-0.1842</v>
      </c>
      <c r="AJ20" s="371">
        <f t="shared" ref="AJ20" si="58">SUM(AJ10:AJ19)</f>
        <v>0.1842</v>
      </c>
      <c r="AK20" s="371">
        <f>AI20-AJ20</f>
        <v>-0.36840000000000001</v>
      </c>
      <c r="AL20" s="373"/>
      <c r="AM20" s="996"/>
      <c r="AN20" s="90">
        <f t="shared" si="5"/>
        <v>8.8157999999999994</v>
      </c>
    </row>
    <row r="21" spans="1:40" s="279" customFormat="1" ht="24.75" customHeight="1" thickBot="1">
      <c r="A21" s="997"/>
      <c r="B21" s="261"/>
      <c r="C21" s="1085"/>
      <c r="D21" s="1085"/>
      <c r="E21" s="1085"/>
      <c r="F21" s="1085"/>
      <c r="G21" s="1085"/>
      <c r="H21" s="1085"/>
      <c r="I21" s="1085"/>
      <c r="J21" s="1085"/>
      <c r="K21" s="1085"/>
      <c r="L21" s="1085"/>
      <c r="M21" s="1085"/>
      <c r="N21" s="1085"/>
      <c r="O21" s="1085"/>
      <c r="P21" s="1085"/>
      <c r="Q21" s="1085"/>
      <c r="R21" s="1085"/>
      <c r="S21" s="1085"/>
      <c r="T21" s="1085"/>
      <c r="U21" s="1085"/>
      <c r="V21" s="1085"/>
      <c r="W21" s="1085"/>
      <c r="X21" s="1085"/>
      <c r="Y21" s="1085"/>
      <c r="Z21" s="1085"/>
      <c r="AA21" s="1085"/>
      <c r="AB21" s="1085"/>
      <c r="AC21" s="1085"/>
      <c r="AD21" s="1085"/>
      <c r="AE21" s="1085"/>
      <c r="AF21" s="1085"/>
      <c r="AG21" s="1085"/>
      <c r="AH21" s="1085"/>
      <c r="AI21" s="1085"/>
      <c r="AJ21" s="1085"/>
      <c r="AK21" s="1085"/>
      <c r="AL21" s="1085"/>
      <c r="AM21" s="996"/>
      <c r="AN21" s="278"/>
    </row>
    <row r="22" spans="1:40" s="279" customFormat="1" ht="24.75" customHeight="1" thickBot="1">
      <c r="A22" s="997"/>
      <c r="B22" s="261"/>
      <c r="C22" s="1160" t="s">
        <v>408</v>
      </c>
      <c r="D22" s="1161"/>
      <c r="E22" s="1161"/>
      <c r="F22" s="1161"/>
      <c r="G22" s="1161"/>
      <c r="H22" s="1161"/>
      <c r="I22" s="1161"/>
      <c r="J22" s="1161"/>
      <c r="K22" s="1161"/>
      <c r="L22" s="1161"/>
      <c r="M22" s="1161"/>
      <c r="N22" s="1161"/>
      <c r="O22" s="1161"/>
      <c r="P22" s="1161"/>
      <c r="Q22" s="1161"/>
      <c r="R22" s="1161"/>
      <c r="S22" s="1161"/>
      <c r="T22" s="1162"/>
      <c r="U22" s="1106"/>
      <c r="V22" s="1119" t="s">
        <v>416</v>
      </c>
      <c r="W22" s="1120"/>
      <c r="X22" s="1120"/>
      <c r="Y22" s="1120"/>
      <c r="Z22" s="1120"/>
      <c r="AA22" s="1120"/>
      <c r="AB22" s="1121"/>
      <c r="AC22" s="1106"/>
      <c r="AD22" s="1119" t="s">
        <v>427</v>
      </c>
      <c r="AE22" s="1120"/>
      <c r="AF22" s="1120"/>
      <c r="AG22" s="1121"/>
      <c r="AH22" s="1106"/>
      <c r="AI22" s="1113" t="s">
        <v>431</v>
      </c>
      <c r="AJ22" s="1114"/>
      <c r="AK22" s="1114"/>
      <c r="AL22" s="1115"/>
      <c r="AM22" s="996"/>
      <c r="AN22" s="278"/>
    </row>
    <row r="23" spans="1:40" s="279" customFormat="1" ht="24.75" customHeight="1">
      <c r="A23" s="997"/>
      <c r="B23" s="261"/>
      <c r="C23" s="1166" t="s">
        <v>248</v>
      </c>
      <c r="D23" s="1163" t="s">
        <v>409</v>
      </c>
      <c r="E23" s="1163"/>
      <c r="F23" s="1163"/>
      <c r="G23" s="1163"/>
      <c r="H23" s="1163"/>
      <c r="I23" s="1156" t="s">
        <v>410</v>
      </c>
      <c r="J23" s="1156"/>
      <c r="K23" s="1156" t="s">
        <v>411</v>
      </c>
      <c r="L23" s="1156"/>
      <c r="M23" s="1156"/>
      <c r="N23" s="1156"/>
      <c r="O23" s="1156"/>
      <c r="P23" s="1156"/>
      <c r="Q23" s="1156" t="s">
        <v>414</v>
      </c>
      <c r="R23" s="1156"/>
      <c r="S23" s="1156" t="s">
        <v>415</v>
      </c>
      <c r="T23" s="1157"/>
      <c r="U23" s="1106"/>
      <c r="V23" s="1140" t="s">
        <v>417</v>
      </c>
      <c r="W23" s="1133" t="s">
        <v>418</v>
      </c>
      <c r="X23" s="1133"/>
      <c r="Y23" s="1133" t="s">
        <v>419</v>
      </c>
      <c r="Z23" s="1133" t="s">
        <v>420</v>
      </c>
      <c r="AA23" s="1133" t="s">
        <v>421</v>
      </c>
      <c r="AB23" s="1143" t="s">
        <v>422</v>
      </c>
      <c r="AC23" s="1106"/>
      <c r="AD23" s="1122"/>
      <c r="AE23" s="1123"/>
      <c r="AF23" s="1123"/>
      <c r="AG23" s="1124"/>
      <c r="AH23" s="1106"/>
      <c r="AI23" s="1116"/>
      <c r="AJ23" s="1117"/>
      <c r="AK23" s="1117"/>
      <c r="AL23" s="1118"/>
      <c r="AM23" s="996"/>
      <c r="AN23" s="278"/>
    </row>
    <row r="24" spans="1:40" s="279" customFormat="1" ht="24.75" customHeight="1" thickBot="1">
      <c r="A24" s="997"/>
      <c r="B24" s="261"/>
      <c r="C24" s="1167"/>
      <c r="D24" s="1165"/>
      <c r="E24" s="1165"/>
      <c r="F24" s="1165"/>
      <c r="G24" s="1165"/>
      <c r="H24" s="1165"/>
      <c r="I24" s="1158"/>
      <c r="J24" s="1158"/>
      <c r="K24" s="1158" t="s">
        <v>412</v>
      </c>
      <c r="L24" s="1158"/>
      <c r="M24" s="1158" t="s">
        <v>413</v>
      </c>
      <c r="N24" s="1158"/>
      <c r="O24" s="1158" t="s">
        <v>270</v>
      </c>
      <c r="P24" s="1158"/>
      <c r="Q24" s="1158"/>
      <c r="R24" s="1158"/>
      <c r="S24" s="1158"/>
      <c r="T24" s="1159"/>
      <c r="U24" s="1106"/>
      <c r="V24" s="1141"/>
      <c r="W24" s="1142"/>
      <c r="X24" s="1142"/>
      <c r="Y24" s="1142"/>
      <c r="Z24" s="1142"/>
      <c r="AA24" s="1142"/>
      <c r="AB24" s="1144"/>
      <c r="AC24" s="1106"/>
      <c r="AD24" s="1125"/>
      <c r="AE24" s="1126"/>
      <c r="AF24" s="1126"/>
      <c r="AG24" s="1127"/>
      <c r="AH24" s="1106"/>
      <c r="AI24" s="1107"/>
      <c r="AJ24" s="1108"/>
      <c r="AK24" s="1108"/>
      <c r="AL24" s="1109"/>
      <c r="AM24" s="996"/>
      <c r="AN24" s="278"/>
    </row>
    <row r="25" spans="1:40" s="279" customFormat="1" ht="24.75" customHeight="1">
      <c r="A25" s="997"/>
      <c r="B25" s="261"/>
      <c r="C25" s="282">
        <f>MPR!B42</f>
        <v>1</v>
      </c>
      <c r="D25" s="1163" t="str">
        <f>MPR!D42</f>
        <v>Bhanwari Devi</v>
      </c>
      <c r="E25" s="1163"/>
      <c r="F25" s="1163"/>
      <c r="G25" s="1163"/>
      <c r="H25" s="1163"/>
      <c r="I25" s="1156" t="str">
        <f>MPR!I42</f>
        <v>OBC</v>
      </c>
      <c r="J25" s="1156"/>
      <c r="K25" s="1130"/>
      <c r="L25" s="1130"/>
      <c r="M25" s="1130"/>
      <c r="N25" s="1130"/>
      <c r="O25" s="1156">
        <f>K25+M25</f>
        <v>0</v>
      </c>
      <c r="P25" s="1156"/>
      <c r="Q25" s="1130"/>
      <c r="R25" s="1130"/>
      <c r="S25" s="1156">
        <f>O25-Q25</f>
        <v>0</v>
      </c>
      <c r="T25" s="1157"/>
      <c r="U25" s="1106"/>
      <c r="V25" s="285" t="s">
        <v>423</v>
      </c>
      <c r="W25" s="1145"/>
      <c r="X25" s="1146"/>
      <c r="Y25" s="289"/>
      <c r="Z25" s="290">
        <v>0</v>
      </c>
      <c r="AA25" s="296"/>
      <c r="AB25" s="295">
        <f>Z25*AA25</f>
        <v>0</v>
      </c>
      <c r="AC25" s="1106"/>
      <c r="AD25" s="1128" t="s">
        <v>428</v>
      </c>
      <c r="AE25" s="1129"/>
      <c r="AF25" s="1130"/>
      <c r="AG25" s="1131"/>
      <c r="AH25" s="1106"/>
      <c r="AI25" s="1107"/>
      <c r="AJ25" s="1108"/>
      <c r="AK25" s="1108"/>
      <c r="AL25" s="1109"/>
      <c r="AM25" s="996"/>
      <c r="AN25" s="278"/>
    </row>
    <row r="26" spans="1:40" s="279" customFormat="1" ht="24.75" customHeight="1">
      <c r="A26" s="997"/>
      <c r="B26" s="261"/>
      <c r="C26" s="280">
        <f>MPR!B43</f>
        <v>2</v>
      </c>
      <c r="D26" s="1164" t="str">
        <f>MPR!D43</f>
        <v>Rekha</v>
      </c>
      <c r="E26" s="1164"/>
      <c r="F26" s="1164"/>
      <c r="G26" s="1164"/>
      <c r="H26" s="1164"/>
      <c r="I26" s="1151" t="str">
        <f>MPR!I43</f>
        <v>OBC</v>
      </c>
      <c r="J26" s="1151"/>
      <c r="K26" s="1134"/>
      <c r="L26" s="1134"/>
      <c r="M26" s="1134"/>
      <c r="N26" s="1134"/>
      <c r="O26" s="1151">
        <f t="shared" ref="O26:O30" si="59">K26+M26</f>
        <v>0</v>
      </c>
      <c r="P26" s="1151"/>
      <c r="Q26" s="1134"/>
      <c r="R26" s="1134"/>
      <c r="S26" s="1151">
        <f t="shared" ref="S26:S30" si="60">O26-Q26</f>
        <v>0</v>
      </c>
      <c r="T26" s="1152"/>
      <c r="U26" s="1106"/>
      <c r="V26" s="286" t="s">
        <v>369</v>
      </c>
      <c r="W26" s="1147"/>
      <c r="X26" s="1148"/>
      <c r="Y26" s="291"/>
      <c r="Z26" s="292"/>
      <c r="AA26" s="297"/>
      <c r="AB26" s="283">
        <f t="shared" ref="AB26:AB30" si="61">Z26*AA26</f>
        <v>0</v>
      </c>
      <c r="AC26" s="1106"/>
      <c r="AD26" s="1132" t="s">
        <v>429</v>
      </c>
      <c r="AE26" s="1133"/>
      <c r="AF26" s="1134"/>
      <c r="AG26" s="1135"/>
      <c r="AH26" s="1106"/>
      <c r="AI26" s="1107"/>
      <c r="AJ26" s="1108"/>
      <c r="AK26" s="1108"/>
      <c r="AL26" s="1109"/>
      <c r="AM26" s="996"/>
      <c r="AN26" s="278"/>
    </row>
    <row r="27" spans="1:40" s="279" customFormat="1" ht="24.75" customHeight="1">
      <c r="A27" s="997"/>
      <c r="B27" s="261"/>
      <c r="C27" s="280">
        <f>MPR!B44</f>
        <v>3</v>
      </c>
      <c r="D27" s="1164" t="str">
        <f>MPR!D44</f>
        <v>Heera</v>
      </c>
      <c r="E27" s="1164"/>
      <c r="F27" s="1164"/>
      <c r="G27" s="1164"/>
      <c r="H27" s="1164"/>
      <c r="I27" s="1151" t="str">
        <f>MPR!I44</f>
        <v>OBC</v>
      </c>
      <c r="J27" s="1151"/>
      <c r="K27" s="1134"/>
      <c r="L27" s="1134"/>
      <c r="M27" s="1134"/>
      <c r="N27" s="1134"/>
      <c r="O27" s="1151">
        <f t="shared" si="59"/>
        <v>0</v>
      </c>
      <c r="P27" s="1151"/>
      <c r="Q27" s="1134"/>
      <c r="R27" s="1134"/>
      <c r="S27" s="1151">
        <f t="shared" si="60"/>
        <v>0</v>
      </c>
      <c r="T27" s="1152"/>
      <c r="U27" s="1106"/>
      <c r="V27" s="286" t="s">
        <v>424</v>
      </c>
      <c r="W27" s="1147"/>
      <c r="X27" s="1148"/>
      <c r="Y27" s="291"/>
      <c r="Z27" s="292"/>
      <c r="AA27" s="297"/>
      <c r="AB27" s="283">
        <f t="shared" si="61"/>
        <v>0</v>
      </c>
      <c r="AC27" s="1106"/>
      <c r="AD27" s="1122" t="s">
        <v>403</v>
      </c>
      <c r="AE27" s="1123"/>
      <c r="AF27" s="1136">
        <f>AF25+AF26</f>
        <v>0</v>
      </c>
      <c r="AG27" s="1137"/>
      <c r="AH27" s="1106"/>
      <c r="AI27" s="1107"/>
      <c r="AJ27" s="1108"/>
      <c r="AK27" s="1108"/>
      <c r="AL27" s="1109"/>
      <c r="AM27" s="996"/>
      <c r="AN27" s="278"/>
    </row>
    <row r="28" spans="1:40" s="279" customFormat="1" ht="24.75" customHeight="1">
      <c r="A28" s="997"/>
      <c r="B28" s="261"/>
      <c r="C28" s="280">
        <f>MPR!B45</f>
        <v>0</v>
      </c>
      <c r="D28" s="1164">
        <f>MPR!D45</f>
        <v>0</v>
      </c>
      <c r="E28" s="1164"/>
      <c r="F28" s="1164"/>
      <c r="G28" s="1164"/>
      <c r="H28" s="1164"/>
      <c r="I28" s="1151">
        <f>MPR!I45</f>
        <v>0</v>
      </c>
      <c r="J28" s="1151"/>
      <c r="K28" s="1134"/>
      <c r="L28" s="1134"/>
      <c r="M28" s="1134"/>
      <c r="N28" s="1134"/>
      <c r="O28" s="1151">
        <f t="shared" si="59"/>
        <v>0</v>
      </c>
      <c r="P28" s="1151"/>
      <c r="Q28" s="1134"/>
      <c r="R28" s="1134"/>
      <c r="S28" s="1151">
        <f t="shared" si="60"/>
        <v>0</v>
      </c>
      <c r="T28" s="1152"/>
      <c r="U28" s="1106"/>
      <c r="V28" s="288" t="s">
        <v>425</v>
      </c>
      <c r="W28" s="1147"/>
      <c r="X28" s="1148"/>
      <c r="Y28" s="291"/>
      <c r="Z28" s="292"/>
      <c r="AA28" s="297"/>
      <c r="AB28" s="283">
        <f t="shared" si="61"/>
        <v>0</v>
      </c>
      <c r="AC28" s="1106"/>
      <c r="AD28" s="1132" t="s">
        <v>414</v>
      </c>
      <c r="AE28" s="1133"/>
      <c r="AF28" s="1134"/>
      <c r="AG28" s="1135"/>
      <c r="AH28" s="1106"/>
      <c r="AI28" s="1107"/>
      <c r="AJ28" s="1108"/>
      <c r="AK28" s="1108"/>
      <c r="AL28" s="1109"/>
      <c r="AM28" s="996"/>
      <c r="AN28" s="278"/>
    </row>
    <row r="29" spans="1:40" s="279" customFormat="1" ht="24.75" customHeight="1">
      <c r="A29" s="997"/>
      <c r="B29" s="261"/>
      <c r="C29" s="280">
        <f>MPR!B46</f>
        <v>0</v>
      </c>
      <c r="D29" s="1164">
        <f>MPR!D46</f>
        <v>0</v>
      </c>
      <c r="E29" s="1164"/>
      <c r="F29" s="1164"/>
      <c r="G29" s="1164"/>
      <c r="H29" s="1164"/>
      <c r="I29" s="1151">
        <f>MPR!I46</f>
        <v>0</v>
      </c>
      <c r="J29" s="1151"/>
      <c r="K29" s="1134"/>
      <c r="L29" s="1134"/>
      <c r="M29" s="1134"/>
      <c r="N29" s="1134"/>
      <c r="O29" s="1151">
        <f t="shared" si="59"/>
        <v>0</v>
      </c>
      <c r="P29" s="1151"/>
      <c r="Q29" s="1134"/>
      <c r="R29" s="1134"/>
      <c r="S29" s="1151">
        <f t="shared" si="60"/>
        <v>0</v>
      </c>
      <c r="T29" s="1152"/>
      <c r="U29" s="1106"/>
      <c r="V29" s="286" t="s">
        <v>426</v>
      </c>
      <c r="W29" s="1147"/>
      <c r="X29" s="1148"/>
      <c r="Y29" s="291"/>
      <c r="Z29" s="292"/>
      <c r="AA29" s="297"/>
      <c r="AB29" s="283">
        <f t="shared" si="61"/>
        <v>0</v>
      </c>
      <c r="AC29" s="1106"/>
      <c r="AD29" s="1122" t="s">
        <v>430</v>
      </c>
      <c r="AE29" s="1123"/>
      <c r="AF29" s="1136">
        <f>AF27-AF28</f>
        <v>0</v>
      </c>
      <c r="AG29" s="1137"/>
      <c r="AH29" s="1106"/>
      <c r="AI29" s="1107"/>
      <c r="AJ29" s="1108"/>
      <c r="AK29" s="1108"/>
      <c r="AL29" s="1109"/>
      <c r="AM29" s="996"/>
      <c r="AN29" s="278"/>
    </row>
    <row r="30" spans="1:40" s="279" customFormat="1" ht="24.75" customHeight="1" thickBot="1">
      <c r="A30" s="997"/>
      <c r="B30" s="261"/>
      <c r="C30" s="281">
        <f>MPR!B47</f>
        <v>0</v>
      </c>
      <c r="D30" s="1168">
        <f>MPR!D47</f>
        <v>0</v>
      </c>
      <c r="E30" s="1168"/>
      <c r="F30" s="1168"/>
      <c r="G30" s="1168"/>
      <c r="H30" s="1168"/>
      <c r="I30" s="1153">
        <f>MPR!I47</f>
        <v>0</v>
      </c>
      <c r="J30" s="1153"/>
      <c r="K30" s="1154"/>
      <c r="L30" s="1154"/>
      <c r="M30" s="1154"/>
      <c r="N30" s="1154"/>
      <c r="O30" s="1153">
        <f t="shared" si="59"/>
        <v>0</v>
      </c>
      <c r="P30" s="1153"/>
      <c r="Q30" s="1154"/>
      <c r="R30" s="1154"/>
      <c r="S30" s="1153">
        <f t="shared" si="60"/>
        <v>0</v>
      </c>
      <c r="T30" s="1155"/>
      <c r="U30" s="1106"/>
      <c r="V30" s="287" t="s">
        <v>270</v>
      </c>
      <c r="W30" s="1149"/>
      <c r="X30" s="1150"/>
      <c r="Y30" s="293"/>
      <c r="Z30" s="294"/>
      <c r="AA30" s="298"/>
      <c r="AB30" s="284">
        <f t="shared" si="61"/>
        <v>0</v>
      </c>
      <c r="AC30" s="1106"/>
      <c r="AD30" s="1125"/>
      <c r="AE30" s="1126"/>
      <c r="AF30" s="1138"/>
      <c r="AG30" s="1139"/>
      <c r="AH30" s="1106"/>
      <c r="AI30" s="1110"/>
      <c r="AJ30" s="1111"/>
      <c r="AK30" s="1111"/>
      <c r="AL30" s="1112"/>
      <c r="AM30" s="996"/>
      <c r="AN30" s="278"/>
    </row>
    <row r="31" spans="1:40" s="279" customFormat="1" ht="66" customHeight="1">
      <c r="A31" s="997"/>
      <c r="B31" s="261"/>
      <c r="C31" s="1104" t="s">
        <v>264</v>
      </c>
      <c r="D31" s="1104"/>
      <c r="E31" s="1104"/>
      <c r="F31" s="1104"/>
      <c r="G31" s="1104"/>
      <c r="H31" s="1104"/>
      <c r="I31" s="1104"/>
      <c r="J31" s="1104"/>
      <c r="K31" s="1104"/>
      <c r="L31" s="1104" t="s">
        <v>432</v>
      </c>
      <c r="M31" s="1104"/>
      <c r="N31" s="1104"/>
      <c r="O31" s="1104"/>
      <c r="P31" s="1104"/>
      <c r="Q31" s="1104"/>
      <c r="R31" s="1104"/>
      <c r="S31" s="1104"/>
      <c r="T31" s="1104"/>
      <c r="U31" s="1105" t="s">
        <v>433</v>
      </c>
      <c r="V31" s="1104"/>
      <c r="W31" s="1104"/>
      <c r="X31" s="1104"/>
      <c r="Y31" s="1104"/>
      <c r="Z31" s="1104"/>
      <c r="AA31" s="1104"/>
      <c r="AB31" s="1104"/>
      <c r="AC31" s="1105"/>
      <c r="AD31" s="1104" t="s">
        <v>434</v>
      </c>
      <c r="AE31" s="1104"/>
      <c r="AF31" s="1104"/>
      <c r="AG31" s="1104"/>
      <c r="AH31" s="1105"/>
      <c r="AI31" s="1104"/>
      <c r="AJ31" s="1104"/>
      <c r="AK31" s="1104"/>
      <c r="AL31" s="1104"/>
      <c r="AM31" s="996"/>
      <c r="AN31" s="278"/>
    </row>
    <row r="32" spans="1:40">
      <c r="A32" s="997"/>
      <c r="B32" s="261"/>
      <c r="C32" s="1073"/>
      <c r="D32" s="1073"/>
      <c r="E32" s="1073"/>
      <c r="F32" s="1073"/>
      <c r="G32" s="1073"/>
      <c r="H32" s="1073"/>
      <c r="I32" s="1073"/>
      <c r="J32" s="1073"/>
      <c r="K32" s="1073"/>
      <c r="L32" s="1073"/>
      <c r="M32" s="1073"/>
      <c r="N32" s="1073"/>
      <c r="O32" s="1073"/>
      <c r="P32" s="1073"/>
      <c r="Q32" s="1073"/>
      <c r="R32" s="1073"/>
      <c r="S32" s="1073"/>
      <c r="T32" s="1073"/>
      <c r="U32" s="1073"/>
      <c r="V32" s="1073"/>
      <c r="W32" s="1073"/>
      <c r="X32" s="1073"/>
      <c r="Y32" s="1073"/>
      <c r="Z32" s="1073"/>
      <c r="AA32" s="1073"/>
      <c r="AB32" s="1073"/>
      <c r="AC32" s="1073"/>
      <c r="AD32" s="1073"/>
      <c r="AE32" s="1073"/>
      <c r="AF32" s="1073"/>
      <c r="AG32" s="1073"/>
      <c r="AH32" s="1073"/>
      <c r="AI32" s="1073"/>
      <c r="AJ32" s="1073"/>
      <c r="AK32" s="1073"/>
      <c r="AL32" s="86"/>
      <c r="AM32" s="996"/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</sheetData>
  <sheetProtection password="E8FA" sheet="1" objects="1" scenarios="1" formatCells="0" formatColumns="0" formatRows="0" selectLockedCells="1"/>
  <mergeCells count="242">
    <mergeCell ref="V8:V9"/>
    <mergeCell ref="W8:W9"/>
    <mergeCell ref="X8:X9"/>
    <mergeCell ref="C20:G20"/>
    <mergeCell ref="AF7:AK7"/>
    <mergeCell ref="AF8:AF9"/>
    <mergeCell ref="AG8:AG9"/>
    <mergeCell ref="AI8:AI9"/>
    <mergeCell ref="AJ8:AJ9"/>
    <mergeCell ref="AK8:AK9"/>
    <mergeCell ref="Y7:Y9"/>
    <mergeCell ref="Z7:AE7"/>
    <mergeCell ref="Z8:Z9"/>
    <mergeCell ref="AA8:AA9"/>
    <mergeCell ref="AC8:AC9"/>
    <mergeCell ref="AD8:AD9"/>
    <mergeCell ref="AE8:AE9"/>
    <mergeCell ref="V7:X7"/>
    <mergeCell ref="S8:S9"/>
    <mergeCell ref="Q8:Q9"/>
    <mergeCell ref="N7:Q7"/>
    <mergeCell ref="R7:R9"/>
    <mergeCell ref="S7:U7"/>
    <mergeCell ref="D18:E18"/>
    <mergeCell ref="T8:T9"/>
    <mergeCell ref="U8:U9"/>
    <mergeCell ref="C10:C11"/>
    <mergeCell ref="C12:C13"/>
    <mergeCell ref="C14:C15"/>
    <mergeCell ref="D19:E19"/>
    <mergeCell ref="F19:G19"/>
    <mergeCell ref="D15:E15"/>
    <mergeCell ref="F15:G15"/>
    <mergeCell ref="D16:E16"/>
    <mergeCell ref="F16:G16"/>
    <mergeCell ref="D17:E17"/>
    <mergeCell ref="F17:G17"/>
    <mergeCell ref="F18:G18"/>
    <mergeCell ref="D7:E9"/>
    <mergeCell ref="F7:G9"/>
    <mergeCell ref="H7:M7"/>
    <mergeCell ref="M8:M9"/>
    <mergeCell ref="D10:E10"/>
    <mergeCell ref="F10:G10"/>
    <mergeCell ref="D11:E11"/>
    <mergeCell ref="F11:G11"/>
    <mergeCell ref="D12:E12"/>
    <mergeCell ref="F12:G12"/>
    <mergeCell ref="AG6:AL6"/>
    <mergeCell ref="AG5:AI5"/>
    <mergeCell ref="AJ3:AK3"/>
    <mergeCell ref="AJ4:AK4"/>
    <mergeCell ref="AJ5:AK5"/>
    <mergeCell ref="C16:C17"/>
    <mergeCell ref="C18:C19"/>
    <mergeCell ref="C6:M6"/>
    <mergeCell ref="AD2:AF3"/>
    <mergeCell ref="C5:M5"/>
    <mergeCell ref="Z16:Z17"/>
    <mergeCell ref="AA16:AA17"/>
    <mergeCell ref="AC16:AC17"/>
    <mergeCell ref="AD16:AD17"/>
    <mergeCell ref="AE16:AE17"/>
    <mergeCell ref="AF16:AF17"/>
    <mergeCell ref="Y10:Y11"/>
    <mergeCell ref="Y12:Y13"/>
    <mergeCell ref="Y14:Y15"/>
    <mergeCell ref="Y16:Y17"/>
    <mergeCell ref="D13:E13"/>
    <mergeCell ref="F13:G13"/>
    <mergeCell ref="D14:E14"/>
    <mergeCell ref="F14:G14"/>
    <mergeCell ref="AM1:AM32"/>
    <mergeCell ref="A1:AL1"/>
    <mergeCell ref="AL7:AL9"/>
    <mergeCell ref="C2:M2"/>
    <mergeCell ref="C7:C9"/>
    <mergeCell ref="Z10:Z11"/>
    <mergeCell ref="AA10:AA11"/>
    <mergeCell ref="AC10:AC11"/>
    <mergeCell ref="AD10:AD11"/>
    <mergeCell ref="AE10:AE11"/>
    <mergeCell ref="AF10:AF11"/>
    <mergeCell ref="AG10:AG11"/>
    <mergeCell ref="AI10:AI11"/>
    <mergeCell ref="AJ10:AJ11"/>
    <mergeCell ref="AK10:AK11"/>
    <mergeCell ref="A2:A32"/>
    <mergeCell ref="C32:AK32"/>
    <mergeCell ref="AG2:AI2"/>
    <mergeCell ref="AJ2:AK2"/>
    <mergeCell ref="AG3:AI3"/>
    <mergeCell ref="AG4:AI4"/>
    <mergeCell ref="Z12:Z13"/>
    <mergeCell ref="AA12:AA13"/>
    <mergeCell ref="AC12:AC13"/>
    <mergeCell ref="AK12:AK13"/>
    <mergeCell ref="Z14:Z15"/>
    <mergeCell ref="AA14:AA15"/>
    <mergeCell ref="AC14:AC15"/>
    <mergeCell ref="AD14:AD15"/>
    <mergeCell ref="AE14:AE15"/>
    <mergeCell ref="AF14:AF15"/>
    <mergeCell ref="AG14:AG15"/>
    <mergeCell ref="AI14:AI15"/>
    <mergeCell ref="AJ14:AJ15"/>
    <mergeCell ref="AK14:AK15"/>
    <mergeCell ref="AD12:AD13"/>
    <mergeCell ref="AE12:AE13"/>
    <mergeCell ref="AF12:AF13"/>
    <mergeCell ref="AG12:AG13"/>
    <mergeCell ref="AI12:AI13"/>
    <mergeCell ref="AJ12:AJ13"/>
    <mergeCell ref="AI16:AI17"/>
    <mergeCell ref="AJ16:AJ17"/>
    <mergeCell ref="AK16:AK17"/>
    <mergeCell ref="Z18:Z19"/>
    <mergeCell ref="AA18:AA19"/>
    <mergeCell ref="AC18:AC19"/>
    <mergeCell ref="AD18:AD19"/>
    <mergeCell ref="AE18:AE19"/>
    <mergeCell ref="AF18:AF19"/>
    <mergeCell ref="AG18:AG19"/>
    <mergeCell ref="AI18:AI19"/>
    <mergeCell ref="AJ18:AJ19"/>
    <mergeCell ref="AK18:AK19"/>
    <mergeCell ref="D27:H27"/>
    <mergeCell ref="D28:H28"/>
    <mergeCell ref="D29:H29"/>
    <mergeCell ref="D30:H30"/>
    <mergeCell ref="I25:J25"/>
    <mergeCell ref="K25:L25"/>
    <mergeCell ref="M25:N25"/>
    <mergeCell ref="O25:P25"/>
    <mergeCell ref="Q25:R25"/>
    <mergeCell ref="I26:J26"/>
    <mergeCell ref="K26:L26"/>
    <mergeCell ref="M26:N26"/>
    <mergeCell ref="O26:P26"/>
    <mergeCell ref="Q26:R26"/>
    <mergeCell ref="S26:T26"/>
    <mergeCell ref="S23:T24"/>
    <mergeCell ref="C22:T22"/>
    <mergeCell ref="D25:H25"/>
    <mergeCell ref="D26:H26"/>
    <mergeCell ref="S25:T25"/>
    <mergeCell ref="D23:H24"/>
    <mergeCell ref="C23:C24"/>
    <mergeCell ref="I23:J24"/>
    <mergeCell ref="K23:P23"/>
    <mergeCell ref="K24:L24"/>
    <mergeCell ref="M24:N24"/>
    <mergeCell ref="O24:P24"/>
    <mergeCell ref="Q23:R24"/>
    <mergeCell ref="S27:T27"/>
    <mergeCell ref="I28:J28"/>
    <mergeCell ref="K28:L28"/>
    <mergeCell ref="M28:N28"/>
    <mergeCell ref="O28:P28"/>
    <mergeCell ref="Q28:R28"/>
    <mergeCell ref="S28:T28"/>
    <mergeCell ref="I27:J27"/>
    <mergeCell ref="K27:L27"/>
    <mergeCell ref="M27:N27"/>
    <mergeCell ref="O27:P27"/>
    <mergeCell ref="Q27:R27"/>
    <mergeCell ref="S29:T29"/>
    <mergeCell ref="I30:J30"/>
    <mergeCell ref="K30:L30"/>
    <mergeCell ref="M30:N30"/>
    <mergeCell ref="O30:P30"/>
    <mergeCell ref="Q30:R30"/>
    <mergeCell ref="S30:T30"/>
    <mergeCell ref="I29:J29"/>
    <mergeCell ref="K29:L29"/>
    <mergeCell ref="M29:N29"/>
    <mergeCell ref="O29:P29"/>
    <mergeCell ref="Q29:R29"/>
    <mergeCell ref="AD29:AE30"/>
    <mergeCell ref="AF29:AG30"/>
    <mergeCell ref="U22:U30"/>
    <mergeCell ref="V22:AB22"/>
    <mergeCell ref="V23:V24"/>
    <mergeCell ref="Y23:Y24"/>
    <mergeCell ref="Z23:Z24"/>
    <mergeCell ref="AA23:AA24"/>
    <mergeCell ref="W23:X24"/>
    <mergeCell ref="AB23:AB24"/>
    <mergeCell ref="W25:X25"/>
    <mergeCell ref="W26:X26"/>
    <mergeCell ref="W27:X27"/>
    <mergeCell ref="W28:X28"/>
    <mergeCell ref="W29:X29"/>
    <mergeCell ref="W30:X30"/>
    <mergeCell ref="C31:K31"/>
    <mergeCell ref="L31:T31"/>
    <mergeCell ref="U31:AC31"/>
    <mergeCell ref="AD31:AL31"/>
    <mergeCell ref="AH22:AH30"/>
    <mergeCell ref="AI27:AL27"/>
    <mergeCell ref="AI28:AL28"/>
    <mergeCell ref="AI29:AL29"/>
    <mergeCell ref="AI30:AL30"/>
    <mergeCell ref="AI22:AL22"/>
    <mergeCell ref="AI23:AL23"/>
    <mergeCell ref="AI24:AL24"/>
    <mergeCell ref="AI25:AL25"/>
    <mergeCell ref="AI26:AL26"/>
    <mergeCell ref="AC22:AC30"/>
    <mergeCell ref="AD22:AG24"/>
    <mergeCell ref="AD25:AE25"/>
    <mergeCell ref="AF25:AG25"/>
    <mergeCell ref="AD26:AE26"/>
    <mergeCell ref="AF26:AG26"/>
    <mergeCell ref="AD27:AE27"/>
    <mergeCell ref="AF27:AG27"/>
    <mergeCell ref="AD28:AE28"/>
    <mergeCell ref="AF28:AG28"/>
    <mergeCell ref="N2:AC4"/>
    <mergeCell ref="R5:T6"/>
    <mergeCell ref="U5:Y6"/>
    <mergeCell ref="C21:AL21"/>
    <mergeCell ref="AL10:AL11"/>
    <mergeCell ref="AL12:AL13"/>
    <mergeCell ref="AL18:AL19"/>
    <mergeCell ref="AL16:AL17"/>
    <mergeCell ref="AL14:AL15"/>
    <mergeCell ref="AD4:AF6"/>
    <mergeCell ref="AH8:AH9"/>
    <mergeCell ref="AH10:AH11"/>
    <mergeCell ref="AH12:AH13"/>
    <mergeCell ref="AH14:AH15"/>
    <mergeCell ref="AH16:AH17"/>
    <mergeCell ref="AH18:AH19"/>
    <mergeCell ref="Y18:Y19"/>
    <mergeCell ref="AB8:AB9"/>
    <mergeCell ref="AB10:AB11"/>
    <mergeCell ref="AB12:AB13"/>
    <mergeCell ref="AB14:AB15"/>
    <mergeCell ref="AB16:AB17"/>
    <mergeCell ref="AB18:AB19"/>
    <mergeCell ref="AG16:AG17"/>
  </mergeCells>
  <conditionalFormatting sqref="C25:T30">
    <cfRule type="expression" dxfId="3" priority="3">
      <formula>$C25=0</formula>
    </cfRule>
  </conditionalFormatting>
  <conditionalFormatting sqref="Z25:AB30">
    <cfRule type="expression" dxfId="2" priority="2">
      <formula>$Z25=0</formula>
    </cfRule>
  </conditionalFormatting>
  <conditionalFormatting sqref="D10:AL19">
    <cfRule type="expression" dxfId="1" priority="1">
      <formula>$D10=0</formula>
    </cfRule>
  </conditionalFormatting>
  <pageMargins left="0.21" right="0.18" top="0.22" bottom="0.24" header="0.19" footer="0.2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N54"/>
  <sheetViews>
    <sheetView showGridLines="0" zoomScale="70" zoomScaleNormal="70" workbookViewId="0">
      <selection activeCell="AK9" sqref="AK9:AL9"/>
    </sheetView>
  </sheetViews>
  <sheetFormatPr defaultColWidth="0" defaultRowHeight="15" customHeight="1" zeroHeight="1"/>
  <cols>
    <col min="1" max="2" width="3" style="55" customWidth="1"/>
    <col min="3" max="7" width="6.140625" style="87" customWidth="1"/>
    <col min="8" max="12" width="5.85546875" style="87" customWidth="1"/>
    <col min="13" max="13" width="7.140625" style="87" customWidth="1"/>
    <col min="14" max="16" width="5.85546875" style="87" customWidth="1"/>
    <col min="17" max="17" width="6.5703125" style="87" customWidth="1"/>
    <col min="18" max="24" width="7.140625" style="87" customWidth="1"/>
    <col min="25" max="25" width="10.85546875" style="87" customWidth="1"/>
    <col min="26" max="29" width="7.140625" style="87" customWidth="1"/>
    <col min="30" max="32" width="8.140625" style="87" customWidth="1"/>
    <col min="33" max="34" width="7.140625" style="87" customWidth="1"/>
    <col min="35" max="37" width="8.140625" style="87" customWidth="1"/>
    <col min="38" max="38" width="13" style="55" customWidth="1"/>
    <col min="39" max="39" width="4.140625" style="55" customWidth="1"/>
    <col min="40" max="16384" width="9.140625" style="55" hidden="1"/>
  </cols>
  <sheetData>
    <row r="1" spans="1:40" ht="15.75" thickBot="1">
      <c r="A1" s="996"/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6"/>
      <c r="O1" s="996"/>
      <c r="P1" s="996"/>
      <c r="Q1" s="996"/>
      <c r="R1" s="996"/>
      <c r="S1" s="996"/>
      <c r="T1" s="996"/>
      <c r="U1" s="996"/>
      <c r="V1" s="996"/>
      <c r="W1" s="996"/>
      <c r="X1" s="996"/>
      <c r="Y1" s="996"/>
      <c r="Z1" s="996"/>
      <c r="AA1" s="996"/>
      <c r="AB1" s="996"/>
      <c r="AC1" s="996"/>
      <c r="AD1" s="996"/>
      <c r="AE1" s="996"/>
      <c r="AF1" s="996"/>
      <c r="AG1" s="996"/>
      <c r="AH1" s="996"/>
      <c r="AI1" s="996"/>
      <c r="AJ1" s="996"/>
      <c r="AK1" s="996"/>
      <c r="AL1" s="996"/>
      <c r="AM1" s="996"/>
    </row>
    <row r="2" spans="1:40" ht="35.25" customHeight="1" thickBot="1">
      <c r="A2" s="997"/>
      <c r="B2" s="261"/>
      <c r="C2" s="1180" t="s">
        <v>357</v>
      </c>
      <c r="D2" s="1181"/>
      <c r="E2" s="1181"/>
      <c r="F2" s="1181"/>
      <c r="G2" s="1181"/>
      <c r="H2" s="1181"/>
      <c r="I2" s="1181"/>
      <c r="J2" s="1181"/>
      <c r="K2" s="1181"/>
      <c r="L2" s="1181"/>
      <c r="M2" s="1182"/>
      <c r="N2" s="1075" t="str">
        <f>'Food Stock 1-8'!B2</f>
        <v>dk;kZy;%jktdh; mPp ek/;fed fo|ky; jk;eyok³k ¼ckfi.kh½] tks/kiqj</v>
      </c>
      <c r="O2" s="1076"/>
      <c r="P2" s="1076"/>
      <c r="Q2" s="1076"/>
      <c r="R2" s="1076"/>
      <c r="S2" s="1076"/>
      <c r="T2" s="1076"/>
      <c r="U2" s="1076"/>
      <c r="V2" s="1076"/>
      <c r="W2" s="1076"/>
      <c r="X2" s="1076"/>
      <c r="Y2" s="1076"/>
      <c r="Z2" s="1076"/>
      <c r="AA2" s="1076"/>
      <c r="AB2" s="1076"/>
      <c r="AC2" s="1077"/>
      <c r="AE2" s="308"/>
      <c r="AF2" s="309"/>
      <c r="AG2" s="1186" t="s">
        <v>367</v>
      </c>
      <c r="AH2" s="1187"/>
      <c r="AI2" s="1188"/>
      <c r="AJ2" s="1188" t="s">
        <v>268</v>
      </c>
      <c r="AK2" s="1188"/>
      <c r="AL2" s="264" t="s">
        <v>269</v>
      </c>
      <c r="AM2" s="996"/>
    </row>
    <row r="3" spans="1:40" ht="45.75" customHeight="1">
      <c r="A3" s="997"/>
      <c r="B3" s="261"/>
      <c r="C3" s="267" t="s">
        <v>358</v>
      </c>
      <c r="D3" s="268" t="s">
        <v>359</v>
      </c>
      <c r="E3" s="268" t="s">
        <v>360</v>
      </c>
      <c r="F3" s="268" t="s">
        <v>361</v>
      </c>
      <c r="G3" s="268" t="s">
        <v>362</v>
      </c>
      <c r="H3" s="269" t="s">
        <v>270</v>
      </c>
      <c r="I3" s="267" t="s">
        <v>363</v>
      </c>
      <c r="J3" s="268" t="s">
        <v>364</v>
      </c>
      <c r="K3" s="268" t="s">
        <v>365</v>
      </c>
      <c r="L3" s="269" t="s">
        <v>270</v>
      </c>
      <c r="M3" s="270" t="s">
        <v>366</v>
      </c>
      <c r="N3" s="1078"/>
      <c r="O3" s="1079"/>
      <c r="P3" s="1079"/>
      <c r="Q3" s="1079"/>
      <c r="R3" s="1079"/>
      <c r="S3" s="1079"/>
      <c r="T3" s="1079"/>
      <c r="U3" s="1079"/>
      <c r="V3" s="1079"/>
      <c r="W3" s="1079"/>
      <c r="X3" s="1079"/>
      <c r="Y3" s="1079"/>
      <c r="Z3" s="1079"/>
      <c r="AA3" s="1079"/>
      <c r="AB3" s="1079"/>
      <c r="AC3" s="1080"/>
      <c r="AD3" s="313"/>
      <c r="AE3" s="314"/>
      <c r="AF3" s="315"/>
      <c r="AG3" s="1189" t="s">
        <v>368</v>
      </c>
      <c r="AH3" s="1190"/>
      <c r="AI3" s="1191"/>
      <c r="AJ3" s="1198" t="s">
        <v>371</v>
      </c>
      <c r="AK3" s="1191"/>
      <c r="AL3" s="265" t="s">
        <v>374</v>
      </c>
      <c r="AM3" s="996"/>
    </row>
    <row r="4" spans="1:40" ht="45.75" customHeight="1" thickBot="1">
      <c r="A4" s="997"/>
      <c r="B4" s="261"/>
      <c r="C4" s="271">
        <f>'School Info'!P12</f>
        <v>53</v>
      </c>
      <c r="D4" s="272">
        <f>'School Info'!P13</f>
        <v>53</v>
      </c>
      <c r="E4" s="272">
        <f>'School Info'!P14</f>
        <v>53</v>
      </c>
      <c r="F4" s="272">
        <f>'School Info'!P15</f>
        <v>53</v>
      </c>
      <c r="G4" s="272">
        <f>'School Info'!P16</f>
        <v>53</v>
      </c>
      <c r="H4" s="273">
        <f>SUM(C4:G4)</f>
        <v>265</v>
      </c>
      <c r="I4" s="271">
        <f>'School Info'!P20</f>
        <v>53</v>
      </c>
      <c r="J4" s="272">
        <f>'School Info'!P21</f>
        <v>53</v>
      </c>
      <c r="K4" s="272">
        <f>'School Info'!P22</f>
        <v>53</v>
      </c>
      <c r="L4" s="273">
        <f>SUM(I4:K4)</f>
        <v>159</v>
      </c>
      <c r="M4" s="274">
        <f>SUM(L4,H4)</f>
        <v>424</v>
      </c>
      <c r="N4" s="1078"/>
      <c r="O4" s="1079"/>
      <c r="P4" s="1079"/>
      <c r="Q4" s="1079"/>
      <c r="R4" s="1079"/>
      <c r="S4" s="1079"/>
      <c r="T4" s="1079"/>
      <c r="U4" s="1079"/>
      <c r="V4" s="1079"/>
      <c r="W4" s="1079"/>
      <c r="X4" s="1079"/>
      <c r="Y4" s="1079"/>
      <c r="Z4" s="1079"/>
      <c r="AA4" s="1079"/>
      <c r="AB4" s="1079"/>
      <c r="AC4" s="1080"/>
      <c r="AE4" s="317"/>
      <c r="AF4" s="318"/>
      <c r="AG4" s="1189" t="s">
        <v>369</v>
      </c>
      <c r="AH4" s="1190"/>
      <c r="AI4" s="1191"/>
      <c r="AJ4" s="1198" t="s">
        <v>372</v>
      </c>
      <c r="AK4" s="1191"/>
      <c r="AL4" s="265" t="s">
        <v>375</v>
      </c>
      <c r="AM4" s="996"/>
    </row>
    <row r="5" spans="1:40" ht="45.75" customHeight="1" thickBot="1">
      <c r="A5" s="997"/>
      <c r="B5" s="261"/>
      <c r="C5" s="1213" t="s">
        <v>283</v>
      </c>
      <c r="D5" s="1214"/>
      <c r="E5" s="1214"/>
      <c r="F5" s="1214"/>
      <c r="G5" s="1214"/>
      <c r="H5" s="1214"/>
      <c r="I5" s="1214"/>
      <c r="J5" s="1214"/>
      <c r="K5" s="1214"/>
      <c r="L5" s="1214"/>
      <c r="M5" s="1215"/>
      <c r="N5" s="310"/>
      <c r="O5" s="311"/>
      <c r="P5" s="311"/>
      <c r="Q5" s="311"/>
      <c r="R5" s="1081" t="s">
        <v>377</v>
      </c>
      <c r="S5" s="1081"/>
      <c r="T5" s="1081"/>
      <c r="U5" s="1083" t="str">
        <f>CONCATENATE('School Info'!I6,"-",'School Info'!K6)</f>
        <v>December-2022</v>
      </c>
      <c r="V5" s="1083"/>
      <c r="W5" s="1083"/>
      <c r="X5" s="1083"/>
      <c r="Y5" s="1083"/>
      <c r="Z5" s="311"/>
      <c r="AA5" s="311"/>
      <c r="AB5" s="311"/>
      <c r="AC5" s="312"/>
      <c r="AD5" s="316"/>
      <c r="AE5" s="317"/>
      <c r="AF5" s="318"/>
      <c r="AG5" s="1195" t="s">
        <v>370</v>
      </c>
      <c r="AH5" s="1196"/>
      <c r="AI5" s="1197"/>
      <c r="AJ5" s="1199" t="s">
        <v>373</v>
      </c>
      <c r="AK5" s="1197"/>
      <c r="AL5" s="266" t="s">
        <v>376</v>
      </c>
      <c r="AM5" s="996"/>
    </row>
    <row r="6" spans="1:40" ht="45.75" customHeight="1" thickBot="1">
      <c r="A6" s="997"/>
      <c r="B6" s="261"/>
      <c r="C6" s="1204" t="s">
        <v>356</v>
      </c>
      <c r="D6" s="1205"/>
      <c r="E6" s="1205"/>
      <c r="F6" s="1205"/>
      <c r="G6" s="1205"/>
      <c r="H6" s="1205"/>
      <c r="I6" s="1205"/>
      <c r="J6" s="1205"/>
      <c r="K6" s="1205"/>
      <c r="L6" s="1205"/>
      <c r="M6" s="1206"/>
      <c r="N6" s="310"/>
      <c r="O6" s="311"/>
      <c r="P6" s="311"/>
      <c r="Q6" s="311"/>
      <c r="R6" s="1081"/>
      <c r="S6" s="1081"/>
      <c r="T6" s="1081"/>
      <c r="U6" s="1083"/>
      <c r="V6" s="1083"/>
      <c r="W6" s="1083"/>
      <c r="X6" s="1083"/>
      <c r="Y6" s="1083"/>
      <c r="Z6" s="311"/>
      <c r="AA6" s="311"/>
      <c r="AB6" s="311"/>
      <c r="AC6" s="312"/>
      <c r="AD6" s="316"/>
      <c r="AE6" s="317"/>
      <c r="AF6" s="318"/>
      <c r="AG6" s="1192" t="s">
        <v>378</v>
      </c>
      <c r="AH6" s="1193"/>
      <c r="AI6" s="1193"/>
      <c r="AJ6" s="1193"/>
      <c r="AK6" s="1193"/>
      <c r="AL6" s="1194"/>
      <c r="AM6" s="996"/>
    </row>
    <row r="7" spans="1:40" ht="45.75" customHeight="1">
      <c r="A7" s="997"/>
      <c r="B7" s="261"/>
      <c r="C7" s="1183" t="s">
        <v>379</v>
      </c>
      <c r="D7" s="1226" t="s">
        <v>263</v>
      </c>
      <c r="E7" s="1226"/>
      <c r="F7" s="1226" t="s">
        <v>116</v>
      </c>
      <c r="G7" s="1226"/>
      <c r="H7" s="1229" t="s">
        <v>271</v>
      </c>
      <c r="I7" s="1229"/>
      <c r="J7" s="1229"/>
      <c r="K7" s="1229"/>
      <c r="L7" s="1229"/>
      <c r="M7" s="1229"/>
      <c r="N7" s="1229"/>
      <c r="O7" s="1229"/>
      <c r="P7" s="1229"/>
      <c r="Q7" s="1229"/>
      <c r="R7" s="1275" t="s">
        <v>272</v>
      </c>
      <c r="S7" s="1275"/>
      <c r="T7" s="1275"/>
      <c r="U7" s="1275"/>
      <c r="V7" s="1275"/>
      <c r="W7" s="1275"/>
      <c r="X7" s="1275"/>
      <c r="Y7" s="1275"/>
      <c r="Z7" s="1287" t="s">
        <v>273</v>
      </c>
      <c r="AA7" s="1287"/>
      <c r="AB7" s="1287"/>
      <c r="AC7" s="1268" t="s">
        <v>274</v>
      </c>
      <c r="AD7" s="1268"/>
      <c r="AE7" s="1268"/>
      <c r="AF7" s="1268"/>
      <c r="AG7" s="1268"/>
      <c r="AH7" s="1268" t="s">
        <v>275</v>
      </c>
      <c r="AI7" s="1268"/>
      <c r="AJ7" s="1268"/>
      <c r="AK7" s="1268" t="s">
        <v>264</v>
      </c>
      <c r="AL7" s="1273"/>
      <c r="AM7" s="996"/>
    </row>
    <row r="8" spans="1:40" ht="45.75" customHeight="1" thickBot="1">
      <c r="A8" s="997"/>
      <c r="B8" s="261"/>
      <c r="C8" s="1289"/>
      <c r="D8" s="1290"/>
      <c r="E8" s="1290"/>
      <c r="F8" s="1290"/>
      <c r="G8" s="1290"/>
      <c r="H8" s="1279" t="s">
        <v>268</v>
      </c>
      <c r="I8" s="1279"/>
      <c r="J8" s="1279"/>
      <c r="K8" s="1279" t="s">
        <v>269</v>
      </c>
      <c r="L8" s="1279"/>
      <c r="M8" s="1279"/>
      <c r="N8" s="1279" t="s">
        <v>270</v>
      </c>
      <c r="O8" s="1279"/>
      <c r="P8" s="1279"/>
      <c r="Q8" s="1279"/>
      <c r="R8" s="1276" t="s">
        <v>276</v>
      </c>
      <c r="S8" s="1276"/>
      <c r="T8" s="1276" t="s">
        <v>277</v>
      </c>
      <c r="U8" s="1276"/>
      <c r="V8" s="1276" t="s">
        <v>278</v>
      </c>
      <c r="W8" s="1276"/>
      <c r="X8" s="1276" t="s">
        <v>279</v>
      </c>
      <c r="Y8" s="1276"/>
      <c r="Z8" s="1288"/>
      <c r="AA8" s="1288"/>
      <c r="AB8" s="1288"/>
      <c r="AC8" s="1269"/>
      <c r="AD8" s="1269"/>
      <c r="AE8" s="1269"/>
      <c r="AF8" s="1269"/>
      <c r="AG8" s="1269"/>
      <c r="AH8" s="1269"/>
      <c r="AI8" s="1269"/>
      <c r="AJ8" s="1269"/>
      <c r="AK8" s="1269"/>
      <c r="AL8" s="1274"/>
      <c r="AM8" s="996"/>
    </row>
    <row r="9" spans="1:40" s="91" customFormat="1" ht="52.5" customHeight="1">
      <c r="A9" s="997"/>
      <c r="B9" s="261">
        <v>1</v>
      </c>
      <c r="C9" s="1282" t="s">
        <v>380</v>
      </c>
      <c r="D9" s="1219">
        <f>IF($B9&gt;MAX('MIlk-Data Entry'!$K$7:$K$13),0,VLOOKUP($B9,'MIlk-Data Entry'!$K$7:$AN$13,3,0))</f>
        <v>44897</v>
      </c>
      <c r="E9" s="1219"/>
      <c r="F9" s="1219" t="str">
        <f>IF($B9&gt;MAX('MIlk-Data Entry'!$K$7:$K$13),0,VLOOKUP($B9,'MIlk-Data Entry'!$K$7:$AN$13,4,0))</f>
        <v>Friday</v>
      </c>
      <c r="G9" s="1219"/>
      <c r="H9" s="1280">
        <f>IF($B9&gt;MAX('MIlk-Data Entry'!$K$7:$K$13),0,VLOOKUP($B9,'MIlk-Data Entry'!$K$7:$AN$13,24,0))</f>
        <v>11</v>
      </c>
      <c r="I9" s="1280"/>
      <c r="J9" s="1280"/>
      <c r="K9" s="1280">
        <f>IF($B9&gt;MAX('MIlk-Data Entry'!$K$7:$K$13),0,VLOOKUP($B9,'MIlk-Data Entry'!$K$7:$AN$13,28,0))</f>
        <v>9</v>
      </c>
      <c r="L9" s="1280"/>
      <c r="M9" s="1280"/>
      <c r="N9" s="1280">
        <f>SUM(H9:M9)</f>
        <v>20</v>
      </c>
      <c r="O9" s="1280"/>
      <c r="P9" s="1280"/>
      <c r="Q9" s="1280"/>
      <c r="R9" s="1270"/>
      <c r="S9" s="1270"/>
      <c r="T9" s="1270"/>
      <c r="U9" s="1270"/>
      <c r="V9" s="1270"/>
      <c r="W9" s="1270"/>
      <c r="X9" s="1270"/>
      <c r="Y9" s="1270"/>
      <c r="Z9" s="1263"/>
      <c r="AA9" s="1263"/>
      <c r="AB9" s="1263"/>
      <c r="AC9" s="1256"/>
      <c r="AD9" s="1256"/>
      <c r="AE9" s="1256"/>
      <c r="AF9" s="1256"/>
      <c r="AG9" s="1256"/>
      <c r="AH9" s="1256"/>
      <c r="AI9" s="1256"/>
      <c r="AJ9" s="1256"/>
      <c r="AK9" s="1252"/>
      <c r="AL9" s="1253"/>
      <c r="AM9" s="996"/>
      <c r="AN9" s="90">
        <f>P9+Q9+AF9+AG9</f>
        <v>0</v>
      </c>
    </row>
    <row r="10" spans="1:40" s="91" customFormat="1" ht="52.5" customHeight="1" thickBot="1">
      <c r="A10" s="997"/>
      <c r="B10" s="261">
        <v>2</v>
      </c>
      <c r="C10" s="1283"/>
      <c r="D10" s="1224">
        <f>IF($B10&gt;MAX('MIlk-Data Entry'!$K$7:$K$13),0,VLOOKUP($B10,'MIlk-Data Entry'!$K$7:$AN$13,3,0))</f>
        <v>0</v>
      </c>
      <c r="E10" s="1224"/>
      <c r="F10" s="1224">
        <f>IF($B10&gt;MAX('MIlk-Data Entry'!$K$7:$K$13),0,VLOOKUP($B10,'MIlk-Data Entry'!$K$7:$AN$13,4,0))</f>
        <v>0</v>
      </c>
      <c r="G10" s="1224"/>
      <c r="H10" s="1281">
        <f>IF($B10&gt;MAX('MIlk-Data Entry'!$K$7:$K$13),0,VLOOKUP($B10,'MIlk-Data Entry'!$K$7:$AN$13,24,0))</f>
        <v>0</v>
      </c>
      <c r="I10" s="1281"/>
      <c r="J10" s="1281"/>
      <c r="K10" s="1281">
        <f>IF($B10&gt;MAX('MIlk-Data Entry'!$K$7:$K$13),0,VLOOKUP($B10,'MIlk-Data Entry'!$K$7:$AN$13,28,0))</f>
        <v>0</v>
      </c>
      <c r="L10" s="1281"/>
      <c r="M10" s="1281"/>
      <c r="N10" s="1281">
        <f t="shared" ref="N10:N18" si="0">SUM(H10:M10)</f>
        <v>0</v>
      </c>
      <c r="O10" s="1281"/>
      <c r="P10" s="1281"/>
      <c r="Q10" s="1281"/>
      <c r="R10" s="1262"/>
      <c r="S10" s="1262"/>
      <c r="T10" s="1262"/>
      <c r="U10" s="1262"/>
      <c r="V10" s="1262"/>
      <c r="W10" s="1262"/>
      <c r="X10" s="1262"/>
      <c r="Y10" s="1262"/>
      <c r="Z10" s="1264"/>
      <c r="AA10" s="1264"/>
      <c r="AB10" s="1264"/>
      <c r="AC10" s="1257"/>
      <c r="AD10" s="1257"/>
      <c r="AE10" s="1257"/>
      <c r="AF10" s="1257"/>
      <c r="AG10" s="1257"/>
      <c r="AH10" s="1257"/>
      <c r="AI10" s="1257"/>
      <c r="AJ10" s="1257"/>
      <c r="AK10" s="1254"/>
      <c r="AL10" s="1255"/>
      <c r="AM10" s="996"/>
      <c r="AN10" s="90">
        <f t="shared" ref="AN10:AN18" si="1">P10+Q10+AF10+AG10</f>
        <v>0</v>
      </c>
    </row>
    <row r="11" spans="1:40" s="91" customFormat="1" ht="52.5" customHeight="1">
      <c r="A11" s="997"/>
      <c r="B11" s="261">
        <v>3</v>
      </c>
      <c r="C11" s="1285" t="s">
        <v>381</v>
      </c>
      <c r="D11" s="1225">
        <f>IF($B11&gt;MAX('MIlk-Data Entry'!$K$14:$K$20),0,VLOOKUP($B11,'MIlk-Data Entry'!$K$14:$AN$20,3,0))</f>
        <v>0</v>
      </c>
      <c r="E11" s="1225"/>
      <c r="F11" s="1225">
        <f>IF($B11&gt;MAX('MIlk-Data Entry'!$K$14:$K$20),0,VLOOKUP($B11,'MIlk-Data Entry'!$K$14:$AN$20,4,0))</f>
        <v>0</v>
      </c>
      <c r="G11" s="1225"/>
      <c r="H11" s="1277">
        <f>IF($B11&gt;MAX('MIlk-Data Entry'!$K$14:$K$20),0,VLOOKUP($B11,'MIlk-Data Entry'!$K$14:$AN$20,24,0))</f>
        <v>0</v>
      </c>
      <c r="I11" s="1277"/>
      <c r="J11" s="1277"/>
      <c r="K11" s="1277">
        <f>IF($B11&gt;MAX('MIlk-Data Entry'!$K$14:$K$20),0,VLOOKUP($B11,'MIlk-Data Entry'!$K$14:$AN$20,28,0))</f>
        <v>0</v>
      </c>
      <c r="L11" s="1277"/>
      <c r="M11" s="1277"/>
      <c r="N11" s="1277">
        <f t="shared" si="0"/>
        <v>0</v>
      </c>
      <c r="O11" s="1277"/>
      <c r="P11" s="1277"/>
      <c r="Q11" s="1277"/>
      <c r="R11" s="1271"/>
      <c r="S11" s="1271"/>
      <c r="T11" s="1271"/>
      <c r="U11" s="1271"/>
      <c r="V11" s="1271"/>
      <c r="W11" s="1271"/>
      <c r="X11" s="1271"/>
      <c r="Y11" s="1271"/>
      <c r="Z11" s="1265"/>
      <c r="AA11" s="1265"/>
      <c r="AB11" s="1265"/>
      <c r="AC11" s="1267"/>
      <c r="AD11" s="1267"/>
      <c r="AE11" s="1267"/>
      <c r="AF11" s="1267"/>
      <c r="AG11" s="1267"/>
      <c r="AH11" s="1267"/>
      <c r="AI11" s="1267"/>
      <c r="AJ11" s="1267"/>
      <c r="AK11" s="1258"/>
      <c r="AL11" s="1259"/>
      <c r="AM11" s="996"/>
      <c r="AN11" s="90">
        <f t="shared" si="1"/>
        <v>0</v>
      </c>
    </row>
    <row r="12" spans="1:40" s="91" customFormat="1" ht="52.5" customHeight="1" thickBot="1">
      <c r="A12" s="997"/>
      <c r="B12" s="261">
        <v>6</v>
      </c>
      <c r="C12" s="1286"/>
      <c r="D12" s="1218">
        <f>IF($B12&gt;MAX('MIlk-Data Entry'!$K$14:$K$20),0,VLOOKUP($B12,'MIlk-Data Entry'!$K$14:$AN$20,3,0))</f>
        <v>0</v>
      </c>
      <c r="E12" s="1218"/>
      <c r="F12" s="1218">
        <f>IF($B12&gt;MAX('MIlk-Data Entry'!$K$14:$K$20),0,VLOOKUP($B12,'MIlk-Data Entry'!$K$14:$AN$20,4,0))</f>
        <v>0</v>
      </c>
      <c r="G12" s="1218"/>
      <c r="H12" s="1278">
        <f>IF($B12&gt;MAX('MIlk-Data Entry'!$K$14:$K$20),0,VLOOKUP($B12,'MIlk-Data Entry'!$K$14:$AN$20,24,0))</f>
        <v>0</v>
      </c>
      <c r="I12" s="1278"/>
      <c r="J12" s="1278"/>
      <c r="K12" s="1278">
        <f>IF($B12&gt;MAX('MIlk-Data Entry'!$K$14:$K$20),0,VLOOKUP($B12,'MIlk-Data Entry'!$K$14:$AN$20,28,0))</f>
        <v>0</v>
      </c>
      <c r="L12" s="1278"/>
      <c r="M12" s="1278"/>
      <c r="N12" s="1278">
        <f t="shared" si="0"/>
        <v>0</v>
      </c>
      <c r="O12" s="1278"/>
      <c r="P12" s="1278"/>
      <c r="Q12" s="1278"/>
      <c r="R12" s="1272"/>
      <c r="S12" s="1272"/>
      <c r="T12" s="1272"/>
      <c r="U12" s="1272"/>
      <c r="V12" s="1272"/>
      <c r="W12" s="1272"/>
      <c r="X12" s="1272"/>
      <c r="Y12" s="1272"/>
      <c r="Z12" s="1266"/>
      <c r="AA12" s="1266"/>
      <c r="AB12" s="1266"/>
      <c r="AC12" s="1284"/>
      <c r="AD12" s="1284"/>
      <c r="AE12" s="1284"/>
      <c r="AF12" s="1284"/>
      <c r="AG12" s="1284"/>
      <c r="AH12" s="1284"/>
      <c r="AI12" s="1284"/>
      <c r="AJ12" s="1284"/>
      <c r="AK12" s="1260"/>
      <c r="AL12" s="1261"/>
      <c r="AM12" s="996"/>
      <c r="AN12" s="90">
        <f t="shared" si="1"/>
        <v>0</v>
      </c>
    </row>
    <row r="13" spans="1:40" s="91" customFormat="1" ht="52.5" customHeight="1">
      <c r="A13" s="997"/>
      <c r="B13" s="261">
        <v>4</v>
      </c>
      <c r="C13" s="1282" t="s">
        <v>382</v>
      </c>
      <c r="D13" s="1219">
        <f>IF($B13&gt;MAX('MIlk-Data Entry'!$K$21:$K$27),0,VLOOKUP($B13,'MIlk-Data Entry'!$K$21:$AN$27,3,0))</f>
        <v>0</v>
      </c>
      <c r="E13" s="1219"/>
      <c r="F13" s="1219">
        <f>IF($B13&gt;MAX('MIlk-Data Entry'!$K$21:$K$27),0,VLOOKUP($B13,'MIlk-Data Entry'!$K$21:$AN$27,4,0))</f>
        <v>0</v>
      </c>
      <c r="G13" s="1219"/>
      <c r="H13" s="1280">
        <f>IF($B13&gt;MAX('MIlk-Data Entry'!$K$21:$K$27),0,VLOOKUP($B13,'MIlk-Data Entry'!$K$21:$AN$27,24,0))</f>
        <v>0</v>
      </c>
      <c r="I13" s="1280"/>
      <c r="J13" s="1280"/>
      <c r="K13" s="1280">
        <f>IF($B13&gt;MAX('MIlk-Data Entry'!$K$21:$K$27),0,VLOOKUP($B13,'MIlk-Data Entry'!$K$21:$AN$27,28,0))</f>
        <v>0</v>
      </c>
      <c r="L13" s="1280"/>
      <c r="M13" s="1280"/>
      <c r="N13" s="1280">
        <f t="shared" si="0"/>
        <v>0</v>
      </c>
      <c r="O13" s="1280"/>
      <c r="P13" s="1280"/>
      <c r="Q13" s="1280"/>
      <c r="R13" s="1270"/>
      <c r="S13" s="1270"/>
      <c r="T13" s="1270"/>
      <c r="U13" s="1270"/>
      <c r="V13" s="1270"/>
      <c r="W13" s="1270"/>
      <c r="X13" s="1270"/>
      <c r="Y13" s="1270"/>
      <c r="Z13" s="1263"/>
      <c r="AA13" s="1263"/>
      <c r="AB13" s="1263"/>
      <c r="AC13" s="1256"/>
      <c r="AD13" s="1256"/>
      <c r="AE13" s="1256"/>
      <c r="AF13" s="1256"/>
      <c r="AG13" s="1256"/>
      <c r="AH13" s="1256"/>
      <c r="AI13" s="1256"/>
      <c r="AJ13" s="1256"/>
      <c r="AK13" s="1252"/>
      <c r="AL13" s="1253"/>
      <c r="AM13" s="996"/>
      <c r="AN13" s="90">
        <f t="shared" si="1"/>
        <v>0</v>
      </c>
    </row>
    <row r="14" spans="1:40" s="91" customFormat="1" ht="52.5" customHeight="1" thickBot="1">
      <c r="A14" s="997"/>
      <c r="B14" s="261">
        <v>8</v>
      </c>
      <c r="C14" s="1283"/>
      <c r="D14" s="1224">
        <f>IF($B14&gt;MAX('MIlk-Data Entry'!$K$21:$K$27),0,VLOOKUP($B14,'MIlk-Data Entry'!$K$21:$AN$27,3,0))</f>
        <v>0</v>
      </c>
      <c r="E14" s="1224"/>
      <c r="F14" s="1224">
        <f>IF($B14&gt;MAX('MIlk-Data Entry'!$K$21:$K$27),0,VLOOKUP($B14,'MIlk-Data Entry'!$K$21:$AN$27,4,0))</f>
        <v>0</v>
      </c>
      <c r="G14" s="1224"/>
      <c r="H14" s="1281">
        <f>IF($B14&gt;MAX('MIlk-Data Entry'!$K$21:$K$27),0,VLOOKUP($B14,'MIlk-Data Entry'!$K$21:$AN$27,24,0))</f>
        <v>0</v>
      </c>
      <c r="I14" s="1281"/>
      <c r="J14" s="1281"/>
      <c r="K14" s="1281">
        <f>IF($B14&gt;MAX('MIlk-Data Entry'!$K$21:$K$27),0,VLOOKUP($B14,'MIlk-Data Entry'!$K$21:$AN$27,28,0))</f>
        <v>0</v>
      </c>
      <c r="L14" s="1281"/>
      <c r="M14" s="1281"/>
      <c r="N14" s="1281">
        <f t="shared" si="0"/>
        <v>0</v>
      </c>
      <c r="O14" s="1281"/>
      <c r="P14" s="1281"/>
      <c r="Q14" s="1281"/>
      <c r="R14" s="1262"/>
      <c r="S14" s="1262"/>
      <c r="T14" s="1262"/>
      <c r="U14" s="1262"/>
      <c r="V14" s="1262"/>
      <c r="W14" s="1262"/>
      <c r="X14" s="1262"/>
      <c r="Y14" s="1262"/>
      <c r="Z14" s="1264"/>
      <c r="AA14" s="1264"/>
      <c r="AB14" s="1264"/>
      <c r="AC14" s="1257"/>
      <c r="AD14" s="1257"/>
      <c r="AE14" s="1257"/>
      <c r="AF14" s="1257"/>
      <c r="AG14" s="1257"/>
      <c r="AH14" s="1257"/>
      <c r="AI14" s="1257"/>
      <c r="AJ14" s="1257"/>
      <c r="AK14" s="1254"/>
      <c r="AL14" s="1255"/>
      <c r="AM14" s="996"/>
      <c r="AN14" s="90">
        <f t="shared" si="1"/>
        <v>0</v>
      </c>
    </row>
    <row r="15" spans="1:40" s="91" customFormat="1" ht="52.5" customHeight="1">
      <c r="A15" s="997"/>
      <c r="B15" s="261">
        <v>5</v>
      </c>
      <c r="C15" s="1285" t="s">
        <v>383</v>
      </c>
      <c r="D15" s="1225">
        <f>IF($B15&gt;MAX('MIlk-Data Entry'!$K$28:$K$34),0,VLOOKUP($B15,'MIlk-Data Entry'!$K$28:$AN$34,3,0))</f>
        <v>0</v>
      </c>
      <c r="E15" s="1225"/>
      <c r="F15" s="1225">
        <f>IF($B15&gt;MAX('MIlk-Data Entry'!$K$28:$K$34),0,VLOOKUP($B15,'MIlk-Data Entry'!$K$28:$AN$34,4,0))</f>
        <v>0</v>
      </c>
      <c r="G15" s="1225"/>
      <c r="H15" s="1277">
        <f>IF($B15&gt;MAX('MIlk-Data Entry'!$K$28:$K$34),0,VLOOKUP($B15,'MIlk-Data Entry'!$K$28:$AN$34,24,0))</f>
        <v>0</v>
      </c>
      <c r="I15" s="1277"/>
      <c r="J15" s="1277"/>
      <c r="K15" s="1277">
        <f>IF($B15&gt;MAX('MIlk-Data Entry'!$K$28:$K$34),0,VLOOKUP($B15,'MIlk-Data Entry'!$K$28:$AN$34,28,0))</f>
        <v>0</v>
      </c>
      <c r="L15" s="1277"/>
      <c r="M15" s="1277"/>
      <c r="N15" s="1277">
        <f t="shared" si="0"/>
        <v>0</v>
      </c>
      <c r="O15" s="1277"/>
      <c r="P15" s="1277"/>
      <c r="Q15" s="1277"/>
      <c r="R15" s="1271"/>
      <c r="S15" s="1271"/>
      <c r="T15" s="1271"/>
      <c r="U15" s="1271"/>
      <c r="V15" s="1271"/>
      <c r="W15" s="1271"/>
      <c r="X15" s="1271"/>
      <c r="Y15" s="1271"/>
      <c r="Z15" s="1265"/>
      <c r="AA15" s="1265"/>
      <c r="AB15" s="1265"/>
      <c r="AC15" s="1267"/>
      <c r="AD15" s="1267"/>
      <c r="AE15" s="1267"/>
      <c r="AF15" s="1267"/>
      <c r="AG15" s="1267"/>
      <c r="AH15" s="1267"/>
      <c r="AI15" s="1267"/>
      <c r="AJ15" s="1267"/>
      <c r="AK15" s="1258"/>
      <c r="AL15" s="1259"/>
      <c r="AM15" s="996"/>
      <c r="AN15" s="90">
        <f t="shared" si="1"/>
        <v>0</v>
      </c>
    </row>
    <row r="16" spans="1:40" s="91" customFormat="1" ht="52.5" customHeight="1" thickBot="1">
      <c r="A16" s="997"/>
      <c r="B16" s="261">
        <v>10</v>
      </c>
      <c r="C16" s="1286"/>
      <c r="D16" s="1218">
        <f>IF($B16&gt;MAX('MIlk-Data Entry'!$K$28:$K$34),0,VLOOKUP($B16,'MIlk-Data Entry'!$K$28:$AN$34,3,0))</f>
        <v>0</v>
      </c>
      <c r="E16" s="1218"/>
      <c r="F16" s="1218">
        <f>IF($B16&gt;MAX('MIlk-Data Entry'!$K$28:$K$34),0,VLOOKUP($B16,'MIlk-Data Entry'!$K$28:$AN$34,4,0))</f>
        <v>0</v>
      </c>
      <c r="G16" s="1218"/>
      <c r="H16" s="1278">
        <f>IF($B16&gt;MAX('MIlk-Data Entry'!$K$28:$K$34),0,VLOOKUP($B16,'MIlk-Data Entry'!$K$28:$AN$34,24,0))</f>
        <v>0</v>
      </c>
      <c r="I16" s="1278"/>
      <c r="J16" s="1278"/>
      <c r="K16" s="1278">
        <f>IF($B16&gt;MAX('MIlk-Data Entry'!$K$28:$K$34),0,VLOOKUP($B16,'MIlk-Data Entry'!$K$28:$AN$34,28,0))</f>
        <v>0</v>
      </c>
      <c r="L16" s="1278"/>
      <c r="M16" s="1278"/>
      <c r="N16" s="1278">
        <f t="shared" si="0"/>
        <v>0</v>
      </c>
      <c r="O16" s="1278"/>
      <c r="P16" s="1278"/>
      <c r="Q16" s="1278"/>
      <c r="R16" s="1272"/>
      <c r="S16" s="1272"/>
      <c r="T16" s="1272"/>
      <c r="U16" s="1272"/>
      <c r="V16" s="1272"/>
      <c r="W16" s="1272"/>
      <c r="X16" s="1272"/>
      <c r="Y16" s="1272"/>
      <c r="Z16" s="1266"/>
      <c r="AA16" s="1266"/>
      <c r="AB16" s="1266"/>
      <c r="AC16" s="1284"/>
      <c r="AD16" s="1284"/>
      <c r="AE16" s="1284"/>
      <c r="AF16" s="1284"/>
      <c r="AG16" s="1284"/>
      <c r="AH16" s="1284"/>
      <c r="AI16" s="1284"/>
      <c r="AJ16" s="1284"/>
      <c r="AK16" s="1260"/>
      <c r="AL16" s="1261"/>
      <c r="AM16" s="996"/>
      <c r="AN16" s="90">
        <f t="shared" si="1"/>
        <v>0</v>
      </c>
    </row>
    <row r="17" spans="1:40" s="91" customFormat="1" ht="52.5" customHeight="1">
      <c r="A17" s="997"/>
      <c r="B17" s="261">
        <v>7</v>
      </c>
      <c r="C17" s="1282" t="s">
        <v>384</v>
      </c>
      <c r="D17" s="1219">
        <f>IF($B17&gt;MAX('MIlk-Data Entry'!$K$35:$K$37),0,VLOOKUP($B17,'MIlk-Data Entry'!$K$35:$AN$37,3,0))</f>
        <v>0</v>
      </c>
      <c r="E17" s="1219"/>
      <c r="F17" s="1219">
        <f>IF($B17&gt;MAX('MIlk-Data Entry'!$K$35:$K$37),0,VLOOKUP($B17,'MIlk-Data Entry'!$K$35:$AN$37,4,0))</f>
        <v>0</v>
      </c>
      <c r="G17" s="1219"/>
      <c r="H17" s="1280">
        <f>IF($B17&gt;MAX('MIlk-Data Entry'!$K$35:$K$37),0,VLOOKUP($B17,'MIlk-Data Entry'!$K$35:$AN$37,24,0))</f>
        <v>0</v>
      </c>
      <c r="I17" s="1280"/>
      <c r="J17" s="1280"/>
      <c r="K17" s="1280">
        <f>IF($B17&gt;MAX('MIlk-Data Entry'!$K$35:$K$37),0,VLOOKUP($B17,'MIlk-Data Entry'!$K$35:$AN$37,28,0))</f>
        <v>0</v>
      </c>
      <c r="L17" s="1280"/>
      <c r="M17" s="1280"/>
      <c r="N17" s="1280">
        <f t="shared" si="0"/>
        <v>0</v>
      </c>
      <c r="O17" s="1280"/>
      <c r="P17" s="1280"/>
      <c r="Q17" s="1280"/>
      <c r="R17" s="1270"/>
      <c r="S17" s="1270"/>
      <c r="T17" s="1270"/>
      <c r="U17" s="1270"/>
      <c r="V17" s="1270"/>
      <c r="W17" s="1270"/>
      <c r="X17" s="1270"/>
      <c r="Y17" s="1270"/>
      <c r="Z17" s="1263"/>
      <c r="AA17" s="1263"/>
      <c r="AB17" s="1263"/>
      <c r="AC17" s="1256"/>
      <c r="AD17" s="1256"/>
      <c r="AE17" s="1256"/>
      <c r="AF17" s="1256"/>
      <c r="AG17" s="1256"/>
      <c r="AH17" s="1256"/>
      <c r="AI17" s="1256"/>
      <c r="AJ17" s="1256"/>
      <c r="AK17" s="1252"/>
      <c r="AL17" s="1253"/>
      <c r="AM17" s="996"/>
      <c r="AN17" s="90">
        <f t="shared" si="1"/>
        <v>0</v>
      </c>
    </row>
    <row r="18" spans="1:40" s="91" customFormat="1" ht="52.5" customHeight="1" thickBot="1">
      <c r="A18" s="997"/>
      <c r="B18" s="261">
        <v>14</v>
      </c>
      <c r="C18" s="1283"/>
      <c r="D18" s="1224">
        <f>IF($B18&gt;MAX('MIlk-Data Entry'!$K$35:$K$37),0,VLOOKUP($B18,'MIlk-Data Entry'!$K$35:$AN$37,3,0))</f>
        <v>0</v>
      </c>
      <c r="E18" s="1224"/>
      <c r="F18" s="1224">
        <f>IF($B18&gt;MAX('MIlk-Data Entry'!$K$35:$K$37),0,VLOOKUP($B18,'MIlk-Data Entry'!$K$35:$AN$37,4,0))</f>
        <v>0</v>
      </c>
      <c r="G18" s="1224"/>
      <c r="H18" s="1281">
        <f>IF($B18&gt;MAX('MIlk-Data Entry'!$K$35:$K$37),0,VLOOKUP($B18,'MIlk-Data Entry'!$K$35:$AN$37,24,0))</f>
        <v>0</v>
      </c>
      <c r="I18" s="1281"/>
      <c r="J18" s="1281"/>
      <c r="K18" s="1281">
        <f>IF($B18&gt;MAX('MIlk-Data Entry'!$K$35:$K$37),0,VLOOKUP($B18,'MIlk-Data Entry'!$K$35:$AN$37,28,0))</f>
        <v>0</v>
      </c>
      <c r="L18" s="1281"/>
      <c r="M18" s="1281"/>
      <c r="N18" s="1281">
        <f t="shared" si="0"/>
        <v>0</v>
      </c>
      <c r="O18" s="1281"/>
      <c r="P18" s="1281"/>
      <c r="Q18" s="1281"/>
      <c r="R18" s="1262"/>
      <c r="S18" s="1262"/>
      <c r="T18" s="1262"/>
      <c r="U18" s="1262"/>
      <c r="V18" s="1262"/>
      <c r="W18" s="1262"/>
      <c r="X18" s="1262"/>
      <c r="Y18" s="1262"/>
      <c r="Z18" s="1264"/>
      <c r="AA18" s="1264"/>
      <c r="AB18" s="1264"/>
      <c r="AC18" s="1257"/>
      <c r="AD18" s="1257"/>
      <c r="AE18" s="1257"/>
      <c r="AF18" s="1257"/>
      <c r="AG18" s="1257"/>
      <c r="AH18" s="1257"/>
      <c r="AI18" s="1257"/>
      <c r="AJ18" s="1257"/>
      <c r="AK18" s="1254"/>
      <c r="AL18" s="1255"/>
      <c r="AM18" s="996"/>
      <c r="AN18" s="90">
        <f t="shared" si="1"/>
        <v>0</v>
      </c>
    </row>
    <row r="19" spans="1:40" s="279" customFormat="1" ht="24.75" customHeight="1">
      <c r="A19" s="997"/>
      <c r="B19" s="261"/>
      <c r="C19" s="1085"/>
      <c r="D19" s="1085"/>
      <c r="E19" s="1085"/>
      <c r="F19" s="1085"/>
      <c r="G19" s="1085"/>
      <c r="H19" s="1085"/>
      <c r="I19" s="1085"/>
      <c r="J19" s="1085"/>
      <c r="K19" s="1085"/>
      <c r="L19" s="1085"/>
      <c r="M19" s="1085"/>
      <c r="N19" s="1085"/>
      <c r="O19" s="1085"/>
      <c r="P19" s="1085"/>
      <c r="Q19" s="1085"/>
      <c r="R19" s="1085"/>
      <c r="S19" s="1085"/>
      <c r="T19" s="1085"/>
      <c r="U19" s="1085"/>
      <c r="V19" s="1085"/>
      <c r="W19" s="1085"/>
      <c r="X19" s="1085"/>
      <c r="Y19" s="1085"/>
      <c r="Z19" s="1085"/>
      <c r="AA19" s="1085"/>
      <c r="AB19" s="1085"/>
      <c r="AC19" s="1085"/>
      <c r="AD19" s="1085"/>
      <c r="AE19" s="1085"/>
      <c r="AF19" s="1085"/>
      <c r="AG19" s="1085"/>
      <c r="AH19" s="1085"/>
      <c r="AI19" s="1085"/>
      <c r="AJ19" s="1085"/>
      <c r="AK19" s="1085"/>
      <c r="AL19" s="1085"/>
      <c r="AM19" s="996"/>
      <c r="AN19" s="278"/>
    </row>
    <row r="20" spans="1:40" s="279" customFormat="1" ht="66" customHeight="1">
      <c r="A20" s="997"/>
      <c r="B20" s="261"/>
      <c r="C20" s="1105" t="s">
        <v>264</v>
      </c>
      <c r="D20" s="1105"/>
      <c r="E20" s="1105"/>
      <c r="F20" s="1105"/>
      <c r="G20" s="1105"/>
      <c r="H20" s="1105"/>
      <c r="I20" s="1105"/>
      <c r="J20" s="1105"/>
      <c r="K20" s="1105"/>
      <c r="L20" s="1105" t="s">
        <v>432</v>
      </c>
      <c r="M20" s="1105"/>
      <c r="N20" s="1105"/>
      <c r="O20" s="1105"/>
      <c r="P20" s="1105"/>
      <c r="Q20" s="1105"/>
      <c r="R20" s="1105"/>
      <c r="S20" s="1105"/>
      <c r="T20" s="1105"/>
      <c r="U20" s="1105" t="s">
        <v>433</v>
      </c>
      <c r="V20" s="1105"/>
      <c r="W20" s="1105"/>
      <c r="X20" s="1105"/>
      <c r="Y20" s="1105"/>
      <c r="Z20" s="1105"/>
      <c r="AA20" s="1105"/>
      <c r="AB20" s="1105"/>
      <c r="AC20" s="1105"/>
      <c r="AD20" s="1105" t="s">
        <v>434</v>
      </c>
      <c r="AE20" s="1105"/>
      <c r="AF20" s="1105"/>
      <c r="AG20" s="1105"/>
      <c r="AH20" s="1105"/>
      <c r="AI20" s="1105"/>
      <c r="AJ20" s="1105"/>
      <c r="AK20" s="1105"/>
      <c r="AL20" s="1105"/>
      <c r="AM20" s="996"/>
      <c r="AN20" s="278"/>
    </row>
    <row r="21" spans="1:40">
      <c r="A21" s="997"/>
      <c r="B21" s="261"/>
      <c r="C21" s="1073"/>
      <c r="D21" s="1073"/>
      <c r="E21" s="1073"/>
      <c r="F21" s="1073"/>
      <c r="G21" s="1073"/>
      <c r="H21" s="1073"/>
      <c r="I21" s="1073"/>
      <c r="J21" s="1073"/>
      <c r="K21" s="1073"/>
      <c r="L21" s="1073"/>
      <c r="M21" s="1073"/>
      <c r="N21" s="1073"/>
      <c r="O21" s="1073"/>
      <c r="P21" s="1073"/>
      <c r="Q21" s="1073"/>
      <c r="R21" s="1073"/>
      <c r="S21" s="1073"/>
      <c r="T21" s="1073"/>
      <c r="U21" s="1073"/>
      <c r="V21" s="1073"/>
      <c r="W21" s="1073"/>
      <c r="X21" s="1073"/>
      <c r="Y21" s="1073"/>
      <c r="Z21" s="1073"/>
      <c r="AA21" s="1073"/>
      <c r="AB21" s="1073"/>
      <c r="AC21" s="1073"/>
      <c r="AD21" s="1073"/>
      <c r="AE21" s="1073"/>
      <c r="AF21" s="1073"/>
      <c r="AG21" s="1073"/>
      <c r="AH21" s="1073"/>
      <c r="AI21" s="1073"/>
      <c r="AJ21" s="1073"/>
      <c r="AK21" s="1073"/>
      <c r="AL21" s="86"/>
      <c r="AM21" s="996"/>
    </row>
    <row r="22" spans="1:40" hidden="1"/>
    <row r="23" spans="1:40" hidden="1"/>
    <row r="24" spans="1:40" hidden="1"/>
    <row r="25" spans="1:40" hidden="1"/>
    <row r="26" spans="1:40" hidden="1"/>
    <row r="27" spans="1:40" hidden="1"/>
    <row r="28" spans="1:40" hidden="1"/>
    <row r="29" spans="1:40" hidden="1"/>
    <row r="30" spans="1:40" hidden="1"/>
    <row r="31" spans="1:40" hidden="1"/>
    <row r="32" spans="1:40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customHeight="1"/>
  </sheetData>
  <sheetProtection password="E8FA" sheet="1" objects="1" scenarios="1" formatCells="0" formatColumns="0" formatRows="0" selectLockedCells="1"/>
  <mergeCells count="175">
    <mergeCell ref="A1:AL1"/>
    <mergeCell ref="AM1:AM21"/>
    <mergeCell ref="A2:A21"/>
    <mergeCell ref="C2:M2"/>
    <mergeCell ref="AG2:AI2"/>
    <mergeCell ref="AJ2:AK2"/>
    <mergeCell ref="AG3:AI3"/>
    <mergeCell ref="AJ3:AK3"/>
    <mergeCell ref="Z7:AB8"/>
    <mergeCell ref="C7:C8"/>
    <mergeCell ref="D7:E8"/>
    <mergeCell ref="F7:G8"/>
    <mergeCell ref="AG4:AI4"/>
    <mergeCell ref="AJ4:AK4"/>
    <mergeCell ref="C5:M5"/>
    <mergeCell ref="AG5:AI5"/>
    <mergeCell ref="AJ5:AK5"/>
    <mergeCell ref="C6:M6"/>
    <mergeCell ref="AG6:AL6"/>
    <mergeCell ref="D10:E10"/>
    <mergeCell ref="F10:G10"/>
    <mergeCell ref="C11:C12"/>
    <mergeCell ref="D11:E11"/>
    <mergeCell ref="F11:G11"/>
    <mergeCell ref="C9:C10"/>
    <mergeCell ref="D9:E9"/>
    <mergeCell ref="F9:G9"/>
    <mergeCell ref="AC13:AG13"/>
    <mergeCell ref="AC14:AG14"/>
    <mergeCell ref="AH13:AJ13"/>
    <mergeCell ref="AH14:AJ14"/>
    <mergeCell ref="D12:E12"/>
    <mergeCell ref="F12:G12"/>
    <mergeCell ref="C13:C14"/>
    <mergeCell ref="D13:E13"/>
    <mergeCell ref="F13:G13"/>
    <mergeCell ref="H13:J13"/>
    <mergeCell ref="K13:M13"/>
    <mergeCell ref="N13:Q13"/>
    <mergeCell ref="H14:J14"/>
    <mergeCell ref="AC12:AG12"/>
    <mergeCell ref="AH12:AJ12"/>
    <mergeCell ref="N10:Q10"/>
    <mergeCell ref="H11:J11"/>
    <mergeCell ref="AC15:AG15"/>
    <mergeCell ref="AC16:AG16"/>
    <mergeCell ref="AH15:AJ15"/>
    <mergeCell ref="AH16:AJ16"/>
    <mergeCell ref="D14:E14"/>
    <mergeCell ref="F14:G14"/>
    <mergeCell ref="C15:C16"/>
    <mergeCell ref="D15:E15"/>
    <mergeCell ref="F15:G15"/>
    <mergeCell ref="K14:M14"/>
    <mergeCell ref="N14:Q14"/>
    <mergeCell ref="D17:E17"/>
    <mergeCell ref="F17:G17"/>
    <mergeCell ref="H18:J18"/>
    <mergeCell ref="K18:M18"/>
    <mergeCell ref="N18:Q18"/>
    <mergeCell ref="X17:Y17"/>
    <mergeCell ref="D16:E16"/>
    <mergeCell ref="F16:G16"/>
    <mergeCell ref="R15:S15"/>
    <mergeCell ref="T15:U15"/>
    <mergeCell ref="V15:W15"/>
    <mergeCell ref="R16:S16"/>
    <mergeCell ref="H15:J15"/>
    <mergeCell ref="K15:M15"/>
    <mergeCell ref="N15:Q15"/>
    <mergeCell ref="H16:J16"/>
    <mergeCell ref="K16:M16"/>
    <mergeCell ref="N16:Q16"/>
    <mergeCell ref="V16:W16"/>
    <mergeCell ref="C21:AK21"/>
    <mergeCell ref="H8:J8"/>
    <mergeCell ref="K8:M8"/>
    <mergeCell ref="H7:Q7"/>
    <mergeCell ref="N8:Q8"/>
    <mergeCell ref="H9:J9"/>
    <mergeCell ref="K9:M9"/>
    <mergeCell ref="N9:Q9"/>
    <mergeCell ref="H10:J10"/>
    <mergeCell ref="K10:M10"/>
    <mergeCell ref="C20:K20"/>
    <mergeCell ref="L20:T20"/>
    <mergeCell ref="U20:AC20"/>
    <mergeCell ref="AD20:AL20"/>
    <mergeCell ref="C19:AL19"/>
    <mergeCell ref="D18:E18"/>
    <mergeCell ref="F18:G18"/>
    <mergeCell ref="H17:J17"/>
    <mergeCell ref="K17:M17"/>
    <mergeCell ref="N17:Q17"/>
    <mergeCell ref="Z18:AB18"/>
    <mergeCell ref="AC17:AG17"/>
    <mergeCell ref="AC18:AG18"/>
    <mergeCell ref="C17:C18"/>
    <mergeCell ref="K11:M11"/>
    <mergeCell ref="N11:Q11"/>
    <mergeCell ref="H12:J12"/>
    <mergeCell ref="K12:M12"/>
    <mergeCell ref="N12:Q12"/>
    <mergeCell ref="R11:S11"/>
    <mergeCell ref="T11:U11"/>
    <mergeCell ref="V11:W11"/>
    <mergeCell ref="R12:S12"/>
    <mergeCell ref="T12:U12"/>
    <mergeCell ref="V12:W12"/>
    <mergeCell ref="AK7:AL8"/>
    <mergeCell ref="R9:S9"/>
    <mergeCell ref="T9:U9"/>
    <mergeCell ref="V9:W9"/>
    <mergeCell ref="R10:S10"/>
    <mergeCell ref="T10:U10"/>
    <mergeCell ref="V10:W10"/>
    <mergeCell ref="X9:Y9"/>
    <mergeCell ref="X10:Y10"/>
    <mergeCell ref="R7:Y7"/>
    <mergeCell ref="R8:S8"/>
    <mergeCell ref="V8:W8"/>
    <mergeCell ref="X8:Y8"/>
    <mergeCell ref="T8:U8"/>
    <mergeCell ref="AC9:AG9"/>
    <mergeCell ref="AC10:AG10"/>
    <mergeCell ref="AH9:AJ9"/>
    <mergeCell ref="AH10:AJ10"/>
    <mergeCell ref="AC11:AG11"/>
    <mergeCell ref="AH11:AJ11"/>
    <mergeCell ref="AC7:AG8"/>
    <mergeCell ref="AH7:AJ8"/>
    <mergeCell ref="R17:S17"/>
    <mergeCell ref="T17:U17"/>
    <mergeCell ref="V17:W17"/>
    <mergeCell ref="R18:S18"/>
    <mergeCell ref="T18:U18"/>
    <mergeCell ref="V18:W18"/>
    <mergeCell ref="R13:S13"/>
    <mergeCell ref="T13:U13"/>
    <mergeCell ref="V13:W13"/>
    <mergeCell ref="R14:S14"/>
    <mergeCell ref="T14:U14"/>
    <mergeCell ref="V14:W14"/>
    <mergeCell ref="Z17:AB17"/>
    <mergeCell ref="X11:Y11"/>
    <mergeCell ref="X12:Y12"/>
    <mergeCell ref="X13:Y13"/>
    <mergeCell ref="X14:Y14"/>
    <mergeCell ref="X15:Y15"/>
    <mergeCell ref="X16:Y16"/>
    <mergeCell ref="T16:U16"/>
    <mergeCell ref="AK17:AL17"/>
    <mergeCell ref="AK18:AL18"/>
    <mergeCell ref="R5:T6"/>
    <mergeCell ref="U5:Y6"/>
    <mergeCell ref="N2:AC4"/>
    <mergeCell ref="AH17:AJ17"/>
    <mergeCell ref="AH18:AJ18"/>
    <mergeCell ref="AK9:AL9"/>
    <mergeCell ref="AK10:AL10"/>
    <mergeCell ref="AK11:AL11"/>
    <mergeCell ref="AK12:AL12"/>
    <mergeCell ref="AK13:AL13"/>
    <mergeCell ref="AK14:AL14"/>
    <mergeCell ref="AK15:AL15"/>
    <mergeCell ref="AK16:AL16"/>
    <mergeCell ref="X18:Y18"/>
    <mergeCell ref="Z9:AB9"/>
    <mergeCell ref="Z10:AB10"/>
    <mergeCell ref="Z11:AB11"/>
    <mergeCell ref="Z12:AB12"/>
    <mergeCell ref="Z13:AB13"/>
    <mergeCell ref="Z14:AB14"/>
    <mergeCell ref="Z15:AB15"/>
    <mergeCell ref="Z16:AB16"/>
  </mergeCells>
  <conditionalFormatting sqref="R9:R18 T9:Z18 Z10:AB18 AC11:AG18 AC9:AC18 AH9:AK18 AK10:AL18 H10:S18 D9:N18">
    <cfRule type="expression" dxfId="0" priority="1">
      <formula>$D9=0</formula>
    </cfRule>
  </conditionalFormatting>
  <pageMargins left="0.21" right="0.18" top="0.22" bottom="0.24" header="0.19" footer="0.2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Help</vt:lpstr>
      <vt:lpstr>School Info</vt:lpstr>
      <vt:lpstr>Food-Data Entry</vt:lpstr>
      <vt:lpstr>MIlk-Data Entry</vt:lpstr>
      <vt:lpstr>MPR</vt:lpstr>
      <vt:lpstr>Upyogita Praman-Patra</vt:lpstr>
      <vt:lpstr>Food Stock 1-8</vt:lpstr>
      <vt:lpstr>Milk Stock &amp; Distri.Register</vt:lpstr>
      <vt:lpstr>Milk Quality Register</vt:lpstr>
      <vt:lpstr>'Food Stock 1-8'!Print_Area</vt:lpstr>
      <vt:lpstr>'Milk Quality Register'!Print_Area</vt:lpstr>
      <vt:lpstr>'Milk Stock &amp; Distri.Register'!Print_Area</vt:lpstr>
      <vt:lpstr>MPR!Print_Area</vt:lpstr>
      <vt:lpstr>'Upyogita Praman-Patra'!Print_Area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2022-12-05T07:11:48Z</cp:lastPrinted>
  <dcterms:created xsi:type="dcterms:W3CDTF">2019-10-22T15:34:26Z</dcterms:created>
  <dcterms:modified xsi:type="dcterms:W3CDTF">2022-12-09T12:54:40Z</dcterms:modified>
</cp:coreProperties>
</file>