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c\Desktop\New folder\MDM\"/>
    </mc:Choice>
  </mc:AlternateContent>
  <xr:revisionPtr revIDLastSave="0" documentId="13_ncr:1_{83EA95E1-BEC4-4CD7-89EA-F85991730286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GUIDANCE" sheetId="7" r:id="rId1"/>
    <sheet name="DATA ENTRY" sheetId="4" r:id="rId2"/>
    <sheet name="DAILY REGESTER" sheetId="3" r:id="rId3"/>
    <sheet name="Sheet2" sheetId="5" state="hidden" r:id="rId4"/>
    <sheet name="ASTMITED BILL" sheetId="6" r:id="rId5"/>
  </sheets>
  <definedNames>
    <definedName name="_xlnm._FilterDatabase" localSheetId="2" hidden="1">'DAILY REGESTER'!$P$1:$Z$37</definedName>
    <definedName name="_xlnm.Print_Area" localSheetId="4">'ASTMITED BILL'!$A$5:$Z$38</definedName>
    <definedName name="_xlnm.Print_Area" localSheetId="2">'DAILY REGESTER'!$A$1:$O$35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6" l="1"/>
  <c r="F16" i="6"/>
  <c r="F15" i="6"/>
  <c r="F14" i="6"/>
  <c r="F13" i="6"/>
  <c r="F12" i="6"/>
  <c r="F11" i="6"/>
  <c r="F10" i="6"/>
  <c r="F9" i="6"/>
  <c r="F8" i="6"/>
  <c r="F7" i="6"/>
  <c r="P4" i="3"/>
  <c r="Q4" i="3"/>
  <c r="J4" i="3"/>
  <c r="E4" i="3"/>
  <c r="A1" i="3"/>
  <c r="A4" i="3"/>
  <c r="A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Z4" i="3"/>
  <c r="Y4" i="3"/>
  <c r="M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X4" i="3"/>
  <c r="W4" i="3"/>
  <c r="H4" i="3"/>
  <c r="F14" i="4"/>
  <c r="E14" i="4"/>
  <c r="D14" i="4"/>
  <c r="C14" i="4"/>
  <c r="F21" i="6"/>
  <c r="F24" i="6" s="1"/>
  <c r="V36" i="6" s="1"/>
  <c r="V17" i="6" s="1"/>
  <c r="D8" i="5"/>
  <c r="E8" i="5"/>
  <c r="F8" i="5"/>
  <c r="C8" i="5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4" i="3"/>
  <c r="O38" i="6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S4" i="3"/>
  <c r="T4" i="3"/>
  <c r="Y35" i="3" l="1"/>
  <c r="D9" i="5" s="1"/>
  <c r="D15" i="4" s="1"/>
  <c r="D16" i="4" s="1"/>
  <c r="W35" i="3"/>
  <c r="C9" i="5" s="1"/>
  <c r="C15" i="4" s="1"/>
  <c r="C16" i="4" s="1"/>
  <c r="Z35" i="3"/>
  <c r="F9" i="5" s="1"/>
  <c r="F15" i="4" s="1"/>
  <c r="F16" i="4" s="1"/>
  <c r="X35" i="3"/>
  <c r="E9" i="5" s="1"/>
  <c r="E15" i="4" s="1"/>
  <c r="E16" i="4" s="1"/>
  <c r="R25" i="3"/>
  <c r="R9" i="3"/>
  <c r="R33" i="3"/>
  <c r="R17" i="3"/>
  <c r="U19" i="3"/>
  <c r="V19" i="3" s="1"/>
  <c r="U18" i="3"/>
  <c r="V18" i="3" s="1"/>
  <c r="R19" i="3"/>
  <c r="R11" i="3"/>
  <c r="U13" i="3"/>
  <c r="R8" i="3"/>
  <c r="U28" i="3"/>
  <c r="R32" i="3"/>
  <c r="R16" i="3"/>
  <c r="U20" i="3"/>
  <c r="U34" i="3"/>
  <c r="U26" i="3"/>
  <c r="R27" i="3"/>
  <c r="U33" i="3"/>
  <c r="U25" i="3"/>
  <c r="U17" i="3"/>
  <c r="U9" i="3"/>
  <c r="R34" i="3"/>
  <c r="R26" i="3"/>
  <c r="R18" i="3"/>
  <c r="R10" i="3"/>
  <c r="R24" i="3"/>
  <c r="U32" i="3"/>
  <c r="U24" i="3"/>
  <c r="U16" i="3"/>
  <c r="U8" i="3"/>
  <c r="U10" i="3"/>
  <c r="U12" i="3"/>
  <c r="R29" i="3"/>
  <c r="R21" i="3"/>
  <c r="R13" i="3"/>
  <c r="U29" i="3"/>
  <c r="U21" i="3"/>
  <c r="U5" i="3"/>
  <c r="U11" i="3"/>
  <c r="U31" i="3"/>
  <c r="U15" i="3"/>
  <c r="R23" i="3"/>
  <c r="U14" i="3"/>
  <c r="R30" i="3"/>
  <c r="R14" i="3"/>
  <c r="R5" i="3"/>
  <c r="T35" i="3"/>
  <c r="R28" i="3"/>
  <c r="R20" i="3"/>
  <c r="R12" i="3"/>
  <c r="U27" i="3"/>
  <c r="U23" i="3"/>
  <c r="U7" i="3"/>
  <c r="R31" i="3"/>
  <c r="R15" i="3"/>
  <c r="R7" i="3"/>
  <c r="U30" i="3"/>
  <c r="U22" i="3"/>
  <c r="U6" i="3"/>
  <c r="R22" i="3"/>
  <c r="R6" i="3"/>
  <c r="Q35" i="3"/>
  <c r="S35" i="3"/>
  <c r="P35" i="3"/>
  <c r="U4" i="3"/>
  <c r="V4" i="3" s="1"/>
  <c r="R4" i="3"/>
  <c r="K35" i="3"/>
  <c r="J35" i="3"/>
  <c r="F35" i="3"/>
  <c r="E35" i="3"/>
  <c r="C35" i="3"/>
  <c r="G15" i="4" s="1"/>
  <c r="B35" i="3"/>
  <c r="M34" i="3"/>
  <c r="H34" i="3"/>
  <c r="M33" i="3"/>
  <c r="H33" i="3"/>
  <c r="M32" i="3"/>
  <c r="H32" i="3"/>
  <c r="M31" i="3"/>
  <c r="H31" i="3"/>
  <c r="M30" i="3"/>
  <c r="H30" i="3"/>
  <c r="M29" i="3"/>
  <c r="H29" i="3"/>
  <c r="M28" i="3"/>
  <c r="H28" i="3"/>
  <c r="M27" i="3"/>
  <c r="H27" i="3"/>
  <c r="M26" i="3"/>
  <c r="H26" i="3"/>
  <c r="M25" i="3"/>
  <c r="H25" i="3"/>
  <c r="M24" i="3"/>
  <c r="H24" i="3"/>
  <c r="M23" i="3"/>
  <c r="H23" i="3"/>
  <c r="M22" i="3"/>
  <c r="H22" i="3"/>
  <c r="M21" i="3"/>
  <c r="H21" i="3"/>
  <c r="M20" i="3"/>
  <c r="H20" i="3"/>
  <c r="M19" i="3"/>
  <c r="H19" i="3"/>
  <c r="M18" i="3"/>
  <c r="H18" i="3"/>
  <c r="M17" i="3"/>
  <c r="H17" i="3"/>
  <c r="M16" i="3"/>
  <c r="H16" i="3"/>
  <c r="M15" i="3"/>
  <c r="H15" i="3"/>
  <c r="M14" i="3"/>
  <c r="H14" i="3"/>
  <c r="M13" i="3"/>
  <c r="H13" i="3"/>
  <c r="M12" i="3"/>
  <c r="H12" i="3"/>
  <c r="M11" i="3"/>
  <c r="H11" i="3"/>
  <c r="M10" i="3"/>
  <c r="H10" i="3"/>
  <c r="M9" i="3"/>
  <c r="H9" i="3"/>
  <c r="M8" i="3"/>
  <c r="H8" i="3"/>
  <c r="M7" i="3"/>
  <c r="H7" i="3"/>
  <c r="M6" i="3"/>
  <c r="H6" i="3"/>
  <c r="M5" i="3"/>
  <c r="H5" i="3"/>
  <c r="L4" i="3"/>
  <c r="G4" i="3"/>
  <c r="G13" i="4" l="1"/>
  <c r="Q21" i="6"/>
  <c r="S21" i="6" s="1"/>
  <c r="Q22" i="6"/>
  <c r="S22" i="6" s="1"/>
  <c r="C10" i="5"/>
  <c r="D10" i="5"/>
  <c r="G17" i="4"/>
  <c r="E10" i="5"/>
  <c r="F10" i="5"/>
  <c r="V31" i="3"/>
  <c r="V26" i="3"/>
  <c r="V8" i="3"/>
  <c r="V20" i="3"/>
  <c r="V16" i="3"/>
  <c r="V23" i="3"/>
  <c r="V29" i="3"/>
  <c r="V24" i="3"/>
  <c r="V17" i="3"/>
  <c r="V30" i="3"/>
  <c r="V15" i="3"/>
  <c r="V13" i="3"/>
  <c r="V12" i="3"/>
  <c r="V5" i="3"/>
  <c r="V7" i="3"/>
  <c r="V21" i="3"/>
  <c r="V9" i="3"/>
  <c r="V6" i="3"/>
  <c r="V27" i="3"/>
  <c r="V14" i="3"/>
  <c r="V32" i="3"/>
  <c r="V25" i="3"/>
  <c r="V28" i="3"/>
  <c r="V11" i="3"/>
  <c r="V10" i="3"/>
  <c r="V34" i="3"/>
  <c r="V22" i="3"/>
  <c r="V33" i="3"/>
  <c r="G9" i="5"/>
  <c r="H8" i="5" s="1"/>
  <c r="H14" i="4" s="1"/>
  <c r="D35" i="3"/>
  <c r="O7" i="6"/>
  <c r="Q7" i="6"/>
  <c r="S7" i="6" s="1"/>
  <c r="O8" i="6"/>
  <c r="G7" i="5"/>
  <c r="C10" i="6"/>
  <c r="R35" i="3"/>
  <c r="U35" i="3"/>
  <c r="V35" i="3" s="1"/>
  <c r="I4" i="3"/>
  <c r="E5" i="3" s="1"/>
  <c r="G5" i="3" s="1"/>
  <c r="I5" i="3" s="1"/>
  <c r="E6" i="3" s="1"/>
  <c r="G6" i="3" s="1"/>
  <c r="I6" i="3" s="1"/>
  <c r="E7" i="3" s="1"/>
  <c r="G7" i="3" s="1"/>
  <c r="I7" i="3" s="1"/>
  <c r="E8" i="3" s="1"/>
  <c r="G8" i="3" s="1"/>
  <c r="I8" i="3" s="1"/>
  <c r="E9" i="3" s="1"/>
  <c r="G9" i="3" s="1"/>
  <c r="I9" i="3" s="1"/>
  <c r="E10" i="3" s="1"/>
  <c r="G10" i="3" s="1"/>
  <c r="I10" i="3" s="1"/>
  <c r="E11" i="3" s="1"/>
  <c r="G11" i="3" s="1"/>
  <c r="I11" i="3" s="1"/>
  <c r="E12" i="3" s="1"/>
  <c r="G12" i="3" s="1"/>
  <c r="I12" i="3" s="1"/>
  <c r="E13" i="3" s="1"/>
  <c r="G13" i="3" s="1"/>
  <c r="I13" i="3" s="1"/>
  <c r="E14" i="3" s="1"/>
  <c r="G14" i="3" s="1"/>
  <c r="I14" i="3" s="1"/>
  <c r="E15" i="3" s="1"/>
  <c r="G15" i="3" s="1"/>
  <c r="I15" i="3" s="1"/>
  <c r="E16" i="3" s="1"/>
  <c r="G16" i="3" s="1"/>
  <c r="I16" i="3" s="1"/>
  <c r="E17" i="3" s="1"/>
  <c r="G17" i="3" s="1"/>
  <c r="I17" i="3" s="1"/>
  <c r="E18" i="3" s="1"/>
  <c r="G18" i="3" s="1"/>
  <c r="I18" i="3" s="1"/>
  <c r="E19" i="3" s="1"/>
  <c r="G19" i="3" s="1"/>
  <c r="I19" i="3" s="1"/>
  <c r="E20" i="3" s="1"/>
  <c r="G20" i="3" s="1"/>
  <c r="I20" i="3" s="1"/>
  <c r="E21" i="3" s="1"/>
  <c r="G21" i="3" s="1"/>
  <c r="I21" i="3" s="1"/>
  <c r="E22" i="3" s="1"/>
  <c r="G22" i="3" s="1"/>
  <c r="I22" i="3" s="1"/>
  <c r="E23" i="3" s="1"/>
  <c r="G23" i="3" s="1"/>
  <c r="I23" i="3" s="1"/>
  <c r="E24" i="3" s="1"/>
  <c r="G24" i="3" s="1"/>
  <c r="I24" i="3" s="1"/>
  <c r="E25" i="3" s="1"/>
  <c r="G25" i="3" s="1"/>
  <c r="I25" i="3" s="1"/>
  <c r="E26" i="3" s="1"/>
  <c r="G26" i="3" s="1"/>
  <c r="I26" i="3" s="1"/>
  <c r="E27" i="3" s="1"/>
  <c r="G27" i="3" s="1"/>
  <c r="I27" i="3" s="1"/>
  <c r="E28" i="3" s="1"/>
  <c r="G28" i="3" s="1"/>
  <c r="I28" i="3" s="1"/>
  <c r="E29" i="3" s="1"/>
  <c r="G29" i="3" s="1"/>
  <c r="I29" i="3" s="1"/>
  <c r="E30" i="3" s="1"/>
  <c r="G30" i="3" s="1"/>
  <c r="I30" i="3" s="1"/>
  <c r="E31" i="3" s="1"/>
  <c r="G31" i="3" s="1"/>
  <c r="I31" i="3" s="1"/>
  <c r="E32" i="3" s="1"/>
  <c r="G32" i="3" s="1"/>
  <c r="I32" i="3" s="1"/>
  <c r="E33" i="3" s="1"/>
  <c r="G33" i="3" s="1"/>
  <c r="I33" i="3" s="1"/>
  <c r="E34" i="3" s="1"/>
  <c r="G34" i="3" s="1"/>
  <c r="I34" i="3" s="1"/>
  <c r="G35" i="3"/>
  <c r="L35" i="3"/>
  <c r="H35" i="3"/>
  <c r="M35" i="3"/>
  <c r="N4" i="3"/>
  <c r="J5" i="3" s="1"/>
  <c r="L5" i="3" s="1"/>
  <c r="N5" i="3" s="1"/>
  <c r="Q37" i="6" l="1"/>
  <c r="S37" i="6" s="1"/>
  <c r="Q9" i="6"/>
  <c r="S9" i="6" s="1"/>
  <c r="Q33" i="6"/>
  <c r="S33" i="6" s="1"/>
  <c r="Q29" i="6"/>
  <c r="S29" i="6" s="1"/>
  <c r="C28" i="6"/>
  <c r="F28" i="6" s="1"/>
  <c r="F31" i="6" s="1"/>
  <c r="V37" i="6" s="1"/>
  <c r="V18" i="6" s="1"/>
  <c r="Q13" i="6"/>
  <c r="S13" i="6" s="1"/>
  <c r="Q12" i="6"/>
  <c r="S12" i="6" s="1"/>
  <c r="Q20" i="6"/>
  <c r="S20" i="6" s="1"/>
  <c r="Q34" i="6"/>
  <c r="S34" i="6" s="1"/>
  <c r="Q14" i="6"/>
  <c r="S14" i="6" s="1"/>
  <c r="Q24" i="6"/>
  <c r="S24" i="6" s="1"/>
  <c r="Q27" i="6"/>
  <c r="S27" i="6" s="1"/>
  <c r="Q31" i="6"/>
  <c r="S31" i="6" s="1"/>
  <c r="Q10" i="6"/>
  <c r="S10" i="6" s="1"/>
  <c r="Q32" i="6"/>
  <c r="S32" i="6" s="1"/>
  <c r="Q28" i="6"/>
  <c r="S28" i="6" s="1"/>
  <c r="Q8" i="6"/>
  <c r="S8" i="6" s="1"/>
  <c r="Q26" i="6"/>
  <c r="S26" i="6" s="1"/>
  <c r="Q38" i="6"/>
  <c r="Q35" i="6"/>
  <c r="S35" i="6" s="1"/>
  <c r="Q15" i="6"/>
  <c r="S15" i="6" s="1"/>
  <c r="Q19" i="6"/>
  <c r="S19" i="6" s="1"/>
  <c r="Q36" i="6"/>
  <c r="S36" i="6" s="1"/>
  <c r="Q17" i="6"/>
  <c r="S17" i="6" s="1"/>
  <c r="Q16" i="6"/>
  <c r="S16" i="6" s="1"/>
  <c r="Q23" i="6"/>
  <c r="S23" i="6" s="1"/>
  <c r="Q25" i="6"/>
  <c r="S25" i="6" s="1"/>
  <c r="Q30" i="6"/>
  <c r="S30" i="6" s="1"/>
  <c r="Q18" i="6"/>
  <c r="S18" i="6" s="1"/>
  <c r="Q11" i="6"/>
  <c r="S11" i="6" s="1"/>
  <c r="J6" i="3"/>
  <c r="L6" i="3" s="1"/>
  <c r="N6" i="3" s="1"/>
  <c r="J7" i="3" s="1"/>
  <c r="L7" i="3" s="1"/>
  <c r="N7" i="3" s="1"/>
  <c r="J8" i="3" s="1"/>
  <c r="L8" i="3" s="1"/>
  <c r="N8" i="3" s="1"/>
  <c r="J9" i="3" s="1"/>
  <c r="L9" i="3" s="1"/>
  <c r="N9" i="3" s="1"/>
  <c r="J10" i="3" s="1"/>
  <c r="L10" i="3" s="1"/>
  <c r="N10" i="3" s="1"/>
  <c r="J11" i="3" s="1"/>
  <c r="L11" i="3" s="1"/>
  <c r="N11" i="3" s="1"/>
  <c r="J12" i="3" s="1"/>
  <c r="L12" i="3" s="1"/>
  <c r="N12" i="3" s="1"/>
  <c r="J13" i="3" s="1"/>
  <c r="L13" i="3" s="1"/>
  <c r="N13" i="3" s="1"/>
  <c r="J14" i="3" s="1"/>
  <c r="L14" i="3" s="1"/>
  <c r="N14" i="3" s="1"/>
  <c r="J15" i="3" s="1"/>
  <c r="L15" i="3" s="1"/>
  <c r="N15" i="3" s="1"/>
  <c r="J16" i="3" s="1"/>
  <c r="L16" i="3" s="1"/>
  <c r="N16" i="3" s="1"/>
  <c r="J17" i="3" s="1"/>
  <c r="L17" i="3" s="1"/>
  <c r="N17" i="3" s="1"/>
  <c r="J18" i="3" s="1"/>
  <c r="L18" i="3" s="1"/>
  <c r="N18" i="3" s="1"/>
  <c r="J19" i="3" s="1"/>
  <c r="L19" i="3" s="1"/>
  <c r="N19" i="3" s="1"/>
  <c r="J20" i="3" s="1"/>
  <c r="L20" i="3" s="1"/>
  <c r="N20" i="3" s="1"/>
  <c r="J21" i="3" s="1"/>
  <c r="L21" i="3" s="1"/>
  <c r="N21" i="3" s="1"/>
  <c r="J22" i="3" s="1"/>
  <c r="L22" i="3" s="1"/>
  <c r="N22" i="3" s="1"/>
  <c r="J23" i="3" s="1"/>
  <c r="L23" i="3" s="1"/>
  <c r="N23" i="3" s="1"/>
  <c r="J24" i="3" s="1"/>
  <c r="L24" i="3" s="1"/>
  <c r="N24" i="3" s="1"/>
  <c r="J25" i="3" s="1"/>
  <c r="L25" i="3" s="1"/>
  <c r="N25" i="3" s="1"/>
  <c r="J26" i="3" s="1"/>
  <c r="L26" i="3" s="1"/>
  <c r="N26" i="3" s="1"/>
  <c r="J27" i="3" s="1"/>
  <c r="L27" i="3" s="1"/>
  <c r="N27" i="3" s="1"/>
  <c r="J28" i="3" s="1"/>
  <c r="L28" i="3" s="1"/>
  <c r="N28" i="3" s="1"/>
  <c r="J29" i="3" s="1"/>
  <c r="L29" i="3" s="1"/>
  <c r="N29" i="3" s="1"/>
  <c r="J30" i="3" s="1"/>
  <c r="L30" i="3" s="1"/>
  <c r="N30" i="3" s="1"/>
  <c r="J31" i="3" s="1"/>
  <c r="L31" i="3" s="1"/>
  <c r="N31" i="3" s="1"/>
  <c r="J32" i="3" s="1"/>
  <c r="L32" i="3" s="1"/>
  <c r="N32" i="3" s="1"/>
  <c r="J33" i="3" s="1"/>
  <c r="L33" i="3" s="1"/>
  <c r="N33" i="3" s="1"/>
  <c r="J34" i="3" s="1"/>
  <c r="L34" i="3" s="1"/>
  <c r="N34" i="3" s="1"/>
  <c r="A6" i="3"/>
  <c r="C7" i="6"/>
  <c r="C8" i="6"/>
  <c r="C9" i="6"/>
  <c r="H6" i="5"/>
  <c r="G11" i="5"/>
  <c r="C14" i="6" s="1"/>
  <c r="N35" i="3"/>
  <c r="I35" i="3"/>
  <c r="S38" i="6" l="1"/>
  <c r="V35" i="6" s="1"/>
  <c r="V16" i="6" s="1"/>
  <c r="O9" i="6"/>
  <c r="H10" i="5"/>
  <c r="H12" i="4"/>
  <c r="C11" i="6"/>
  <c r="C12" i="6"/>
  <c r="C15" i="6"/>
  <c r="C13" i="6"/>
  <c r="A7" i="3"/>
  <c r="O10" i="6" l="1"/>
  <c r="W28" i="6"/>
  <c r="W23" i="6"/>
  <c r="F18" i="6"/>
  <c r="V33" i="6" s="1"/>
  <c r="V14" i="6" s="1"/>
  <c r="H16" i="4"/>
  <c r="A8" i="3"/>
  <c r="O11" i="6" l="1"/>
  <c r="A9" i="3"/>
  <c r="O12" i="6" l="1"/>
  <c r="A10" i="3"/>
  <c r="O13" i="6" l="1"/>
  <c r="A11" i="3"/>
  <c r="O14" i="6" l="1"/>
  <c r="A12" i="3"/>
  <c r="O15" i="6" l="1"/>
  <c r="A13" i="3"/>
  <c r="O16" i="6" l="1"/>
  <c r="A14" i="3"/>
  <c r="O17" i="6" l="1"/>
  <c r="A15" i="3"/>
  <c r="O18" i="6" l="1"/>
  <c r="A16" i="3"/>
  <c r="O19" i="6" l="1"/>
  <c r="A17" i="3"/>
  <c r="O20" i="6" l="1"/>
  <c r="A18" i="3"/>
  <c r="O21" i="6" l="1"/>
  <c r="A19" i="3"/>
  <c r="O22" i="6" l="1"/>
  <c r="A20" i="3"/>
  <c r="O23" i="6" l="1"/>
  <c r="A21" i="3"/>
  <c r="O24" i="6" l="1"/>
  <c r="A22" i="3"/>
  <c r="O25" i="6" l="1"/>
  <c r="A23" i="3"/>
  <c r="O26" i="6" l="1"/>
  <c r="A24" i="3"/>
  <c r="O27" i="6" l="1"/>
  <c r="A25" i="3"/>
  <c r="O28" i="6" l="1"/>
  <c r="A26" i="3"/>
  <c r="O29" i="6" l="1"/>
  <c r="A27" i="3"/>
  <c r="O30" i="6" l="1"/>
  <c r="A28" i="3"/>
  <c r="O31" i="6" l="1"/>
  <c r="A29" i="3"/>
  <c r="O32" i="6" l="1"/>
  <c r="A30" i="3"/>
  <c r="O33" i="6" l="1"/>
  <c r="A31" i="3"/>
  <c r="O34" i="6" l="1"/>
  <c r="A32" i="3"/>
  <c r="O35" i="6" l="1"/>
  <c r="A33" i="3"/>
  <c r="O36" i="6" l="1"/>
  <c r="A34" i="3"/>
  <c r="V7" i="6" l="1" a="1"/>
  <c r="O37" i="6"/>
  <c r="V7" i="6" l="1"/>
  <c r="X7" i="6" s="1"/>
  <c r="Z7" i="6" s="1"/>
  <c r="Z11" i="6"/>
  <c r="X8" i="6"/>
  <c r="Z8" i="6" s="1"/>
  <c r="X10" i="6"/>
  <c r="Z10" i="6" s="1"/>
  <c r="X9" i="6"/>
  <c r="Z9" i="6" s="1"/>
  <c r="Z12" i="6" l="1"/>
  <c r="V34" i="6" s="1"/>
  <c r="V15" i="6" s="1"/>
  <c r="V38" i="6" l="1"/>
  <c r="W24" i="6" s="1"/>
  <c r="W25" i="6" s="1"/>
  <c r="C34" i="6"/>
  <c r="F34" i="6" s="1"/>
  <c r="C35" i="6" s="1"/>
  <c r="F35" i="6" s="1"/>
  <c r="F37" i="6" s="1"/>
  <c r="V19" i="6" s="1"/>
  <c r="V20" i="6" s="1"/>
  <c r="W29" i="6" s="1"/>
  <c r="W30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<sst xmlns="http://schemas.openxmlformats.org/spreadsheetml/2006/main" count="222" uniqueCount="116">
  <si>
    <t xml:space="preserve">कक्षा 1 से 5 तक </t>
  </si>
  <si>
    <t xml:space="preserve">कक्षा 6 से 8 तक  </t>
  </si>
  <si>
    <t xml:space="preserve">MDM से लाभान्वित </t>
  </si>
  <si>
    <t xml:space="preserve">प्राम्भिक शेष </t>
  </si>
  <si>
    <t xml:space="preserve">पो. सप्लायर से प्राप्त </t>
  </si>
  <si>
    <t xml:space="preserve">व्यय </t>
  </si>
  <si>
    <t xml:space="preserve">अंतिम शेष </t>
  </si>
  <si>
    <t xml:space="preserve">गेंहू का विवरण </t>
  </si>
  <si>
    <t xml:space="preserve">चावल  का विवरण </t>
  </si>
  <si>
    <t xml:space="preserve">उपयोग में लिया गया खाद्यान्न </t>
  </si>
  <si>
    <t xml:space="preserve">दिनांक </t>
  </si>
  <si>
    <t>गेहूं</t>
  </si>
  <si>
    <t xml:space="preserve">चावल </t>
  </si>
  <si>
    <t xml:space="preserve">योग </t>
  </si>
  <si>
    <t xml:space="preserve">कुल योग </t>
  </si>
  <si>
    <t>lCth 6 ls 8</t>
  </si>
  <si>
    <t>nky 6 ls 8</t>
  </si>
  <si>
    <t>lCth 1 ls 5</t>
  </si>
  <si>
    <t>nky 1ls 5</t>
  </si>
  <si>
    <t>dqy nky</t>
  </si>
  <si>
    <t>dqy lCth</t>
  </si>
  <si>
    <t>fo|ky; dk uke%&amp;</t>
  </si>
  <si>
    <t>iks"kkgkj izHkkjh dk uke%&amp;</t>
  </si>
  <si>
    <t>lgk;d izHkkjh dk uke%&amp;</t>
  </si>
  <si>
    <t>lquhy dqekj egkoj</t>
  </si>
  <si>
    <t>ekg dk uke%&amp;</t>
  </si>
  <si>
    <t xml:space="preserve">izkFkfed </t>
  </si>
  <si>
    <t>mPp izkFkfed</t>
  </si>
  <si>
    <t xml:space="preserve">ekfld [kk|kUu forj.k ,oa LVkWd fooj.k </t>
  </si>
  <si>
    <t xml:space="preserve">[kk|kUu fooj.k </t>
  </si>
  <si>
    <t xml:space="preserve">xsgwa dk fooj.k </t>
  </si>
  <si>
    <t>pkoy dk fooj.k</t>
  </si>
  <si>
    <t>O;; jkf'k</t>
  </si>
  <si>
    <t>izkjafHkd 'ks"k</t>
  </si>
  <si>
    <t xml:space="preserve">izkIr </t>
  </si>
  <si>
    <t>;ksx</t>
  </si>
  <si>
    <t>O;;</t>
  </si>
  <si>
    <t>vafre 'ks"k</t>
  </si>
  <si>
    <t xml:space="preserve">ykHkkfUor Nk= </t>
  </si>
  <si>
    <t>1 ls 5</t>
  </si>
  <si>
    <t>6 ls 8</t>
  </si>
  <si>
    <t xml:space="preserve">dqy ;ksx </t>
  </si>
  <si>
    <t xml:space="preserve">fdjk.kk lkexzh fcy </t>
  </si>
  <si>
    <t>lkexzh dk uke</t>
  </si>
  <si>
    <t>ek=k</t>
  </si>
  <si>
    <t>nj</t>
  </si>
  <si>
    <t>jkf'k</t>
  </si>
  <si>
    <t>dz- la-</t>
  </si>
  <si>
    <t>eawx nky</t>
  </si>
  <si>
    <t>puk nky</t>
  </si>
  <si>
    <t>mM+n nky</t>
  </si>
  <si>
    <t>rsy</t>
  </si>
  <si>
    <t>fefpZ</t>
  </si>
  <si>
    <t>/kfu;k</t>
  </si>
  <si>
    <t xml:space="preserve">gYnh </t>
  </si>
  <si>
    <t>thjk</t>
  </si>
  <si>
    <t>ued</t>
  </si>
  <si>
    <t xml:space="preserve">;ksx </t>
  </si>
  <si>
    <t>xSl¼bZ/ku½ lkexzh</t>
  </si>
  <si>
    <t>xSl fjfQfyax</t>
  </si>
  <si>
    <t>fnukad</t>
  </si>
  <si>
    <t xml:space="preserve">lCth fcy </t>
  </si>
  <si>
    <t xml:space="preserve">QYk fcy </t>
  </si>
  <si>
    <t>filkbZ jkf'k</t>
  </si>
  <si>
    <t>xsgw¡ filkbZ</t>
  </si>
  <si>
    <t>ek=k fd-xzk-</t>
  </si>
  <si>
    <t>Qy</t>
  </si>
  <si>
    <t xml:space="preserve">lCth </t>
  </si>
  <si>
    <t>bZ/ku</t>
  </si>
  <si>
    <t>filkbZ</t>
  </si>
  <si>
    <t>jkf'k dk vUrj</t>
  </si>
  <si>
    <t>dqy Lohd`r jkf'k</t>
  </si>
  <si>
    <t>dqy O;; jkf'k</t>
  </si>
  <si>
    <t>eqds'k dqekj ehuk</t>
  </si>
  <si>
    <t>vuqekfur fcy jkf'k dk ;ksx</t>
  </si>
  <si>
    <t xml:space="preserve">fdjk.kk </t>
  </si>
  <si>
    <t xml:space="preserve">xsgwa dk fooj.k fdxzk- </t>
  </si>
  <si>
    <t>pkoy dk fooj.k fdxzk-</t>
  </si>
  <si>
    <t>iz/kkuk/;kid dk uke%&amp;</t>
  </si>
  <si>
    <t>eksckbZy uEcj%&amp;</t>
  </si>
  <si>
    <t>nj izfr Nk=%&amp;</t>
  </si>
  <si>
    <t>%&amp;'khV fuekZ.k drkZ%&amp;</t>
  </si>
  <si>
    <t>dsoy ihys lsy HkjsaA</t>
  </si>
  <si>
    <t>jsM lsy jfookj ds gS vr% 0 HkjsaA</t>
  </si>
  <si>
    <t>ekfpl</t>
  </si>
  <si>
    <t>lkcqu</t>
  </si>
  <si>
    <t>vU; lkexzh jkf'k</t>
  </si>
  <si>
    <t>I;kt</t>
  </si>
  <si>
    <t>yglqu</t>
  </si>
  <si>
    <t>vU;</t>
  </si>
  <si>
    <t>dz-la-</t>
  </si>
  <si>
    <r>
      <t xml:space="preserve">lquhy dqekj egkoj </t>
    </r>
    <r>
      <rPr>
        <b/>
        <i/>
        <sz val="14"/>
        <color rgb="FFFFFF00"/>
        <rFont val="Kruti Dev 010"/>
      </rPr>
      <t>v- jkmekfo ohj/kksfy;k</t>
    </r>
  </si>
  <si>
    <t>&amp;%mi;ksx gsrq fn'kk funsZ'k%&amp;</t>
  </si>
  <si>
    <t>loZ izFke d`frnso 010 QkWUV bUlVkWy djsaA</t>
  </si>
  <si>
    <t>MkVk ,UVªh 'khV ds dsoy ihys lsy HkjsaA</t>
  </si>
  <si>
    <t xml:space="preserve">,e-Mh-,e- 'khV esa dsoy izkFkfed ,oa mPp izkFkfed ykHkkfUor cPpksa dh la[;k ihys lsy esa Hkjsa ,oa mi;ksx esa fy;s x;s [kk|kUu esa xsag¡w ;k pkoy lysDV djsaA </t>
  </si>
  <si>
    <t>Qy okys fcy esa ekg esa vkus okys eaxyokj dh fnukad fn[kkbZ nsxh vko';drkuqlkj cny ldrs gSaA</t>
  </si>
  <si>
    <t>;g 'khV dsoy vuqeku ds fy;s gSA</t>
  </si>
  <si>
    <t>'khV rS;kj djus esa iwjh lko/kkuh cjrh xbZ gS fQj Hkh dksbZ folaxrh jgrh gS rks foHkkxh; fn'kkfunsZ'k gh ekU; gkxsa] 'khV rS;kj drkZ dh dksbZ ftEesnkjh ugha gksxhA</t>
  </si>
  <si>
    <t>lq&gt;ko@lq/kkj gsrq laidZ djsaA</t>
  </si>
  <si>
    <t>vuqekfur fcy okyh 'khV essa vko';drkuqlkj lkexzh dh nj fy[ksa] lCth]Qy dk uke fy[ksa] xSl [kpZ esa flys.Mj dh la[;k ntZ djsa o nj HkjsaA</t>
  </si>
  <si>
    <t>a</t>
  </si>
  <si>
    <t xml:space="preserve">ek=k </t>
  </si>
  <si>
    <t>yksdh VekVj</t>
  </si>
  <si>
    <t>CkSaxu] VekVj</t>
  </si>
  <si>
    <t>rqjbZ] VekVj</t>
  </si>
  <si>
    <t>ikyd] VekVj</t>
  </si>
  <si>
    <t>iRrkxksHkh] vkyw] VekVj</t>
  </si>
  <si>
    <t>Xokj Qyh</t>
  </si>
  <si>
    <t>VekVj] fefpZ</t>
  </si>
  <si>
    <t>vkyw] iRrkxksHkh] VekVj</t>
  </si>
  <si>
    <t>vkyw] VekVj</t>
  </si>
  <si>
    <t>gjs I;kt] vkyw</t>
  </si>
  <si>
    <t>cSaxu] VekVj] vkyw</t>
  </si>
  <si>
    <t>lquhy dqekj egkoj v/;kid jkmekfo ohj/kksfy;k</t>
  </si>
  <si>
    <t>Jh larks"k dqekj O;kl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</si>
</sst>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₹-449]\ #,##0.00"/>
    <numFmt numFmtId="166" formatCode="dd/mm/yyyy"/>
    <numFmt numFmtId="167" formatCode="mmmm\ yyyy"/>
    <numFmt numFmtId="168" formatCode="[$₹-4009]\ #,##0"/>
  </numFmts>
  <fonts count="4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Kruti Dev 010"/>
    </font>
    <font>
      <b/>
      <sz val="11"/>
      <color rgb="FFFF0000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1"/>
      <color theme="1"/>
      <name val="Times New Roman"/>
      <family val="1"/>
    </font>
    <font>
      <sz val="13"/>
      <color theme="1"/>
      <name val="Kruti Dev 010"/>
    </font>
    <font>
      <sz val="13"/>
      <color theme="1"/>
      <name val="Times New Roman"/>
      <family val="1"/>
    </font>
    <font>
      <b/>
      <sz val="16"/>
      <color theme="1"/>
      <name val="Kruti Dev 010"/>
    </font>
    <font>
      <b/>
      <sz val="12"/>
      <color theme="1"/>
      <name val="Kruti Dev 010"/>
    </font>
    <font>
      <b/>
      <sz val="13"/>
      <color theme="1"/>
      <name val="Kruti Dev 010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Kruti Dev 010"/>
    </font>
    <font>
      <sz val="8"/>
      <name val="Calibri"/>
      <family val="2"/>
      <scheme val="minor"/>
    </font>
    <font>
      <b/>
      <sz val="25"/>
      <color rgb="FFFFFF00"/>
      <name val="Kruti Dev 010"/>
    </font>
    <font>
      <b/>
      <i/>
      <u/>
      <sz val="14"/>
      <color rgb="FFFFFF00"/>
      <name val="Kruti Dev 010"/>
    </font>
    <font>
      <sz val="14"/>
      <color theme="7" tint="0.79998168889431442"/>
      <name val="Kruti Dev 010"/>
    </font>
    <font>
      <b/>
      <sz val="14"/>
      <color theme="7" tint="0.79998168889431442"/>
      <name val="Kruti Dev 010"/>
    </font>
    <font>
      <b/>
      <sz val="14"/>
      <color theme="7" tint="0.79998168889431442"/>
      <name val="Times New Roman"/>
      <family val="1"/>
    </font>
    <font>
      <b/>
      <sz val="14"/>
      <color theme="0"/>
      <name val="Kruti Dev 010"/>
    </font>
    <font>
      <sz val="14"/>
      <color theme="0"/>
      <name val="Kruti Dev 010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4"/>
      <color rgb="FF00B0F0"/>
      <name val="Kruti Dev 010"/>
    </font>
    <font>
      <b/>
      <sz val="20"/>
      <color rgb="FFFFFF00"/>
      <name val="Kruti Dev 010"/>
    </font>
    <font>
      <b/>
      <i/>
      <sz val="14"/>
      <color rgb="FFFFFF00"/>
      <name val="Kruti Dev 010"/>
    </font>
    <font>
      <b/>
      <sz val="18"/>
      <color theme="1"/>
      <name val="Kruti Dev 010"/>
    </font>
    <font>
      <b/>
      <sz val="18"/>
      <name val="Kruti Dev 010"/>
    </font>
    <font>
      <b/>
      <sz val="20"/>
      <color theme="1"/>
      <name val="Kruti Dev 010"/>
    </font>
    <font>
      <b/>
      <sz val="10"/>
      <color theme="1"/>
      <name val="Times New Roman"/>
      <family val="1"/>
    </font>
    <font>
      <sz val="12"/>
      <color theme="1"/>
      <name val="Times New Roman"/>
      <charset val="134"/>
    </font>
    <font>
      <b/>
      <i/>
      <sz val="24"/>
      <color rgb="FFFFFF00"/>
      <name val="Kruti Dev 010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0" xfId="0" applyFont="1" applyFill="1"/>
    <xf numFmtId="1" fontId="5" fillId="0" borderId="1" xfId="0" applyNumberFormat="1" applyFont="1" applyBorder="1" applyAlignment="1" applyProtection="1">
      <alignment horizontal="center" vertical="center"/>
      <protection locked="0" hidden="1"/>
    </xf>
    <xf numFmtId="0" fontId="1" fillId="2" borderId="0" xfId="0" applyFont="1" applyFill="1"/>
    <xf numFmtId="0" fontId="1" fillId="3" borderId="0" xfId="0" applyFont="1" applyFill="1"/>
    <xf numFmtId="0" fontId="4" fillId="3" borderId="0" xfId="0" applyFont="1" applyFill="1" applyAlignment="1">
      <alignment horizontal="center" vertical="center"/>
    </xf>
    <xf numFmtId="0" fontId="9" fillId="3" borderId="0" xfId="0" applyFont="1" applyFill="1"/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16" fillId="5" borderId="0" xfId="0" applyFont="1" applyFill="1" applyAlignment="1">
      <alignment horizontal="center"/>
    </xf>
    <xf numFmtId="0" fontId="18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9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9" fillId="6" borderId="0" xfId="0" applyFont="1" applyFill="1"/>
    <xf numFmtId="0" fontId="11" fillId="6" borderId="0" xfId="0" applyFont="1" applyFill="1"/>
    <xf numFmtId="0" fontId="11" fillId="6" borderId="0" xfId="0" applyFont="1" applyFill="1" applyAlignment="1">
      <alignment horizontal="center" vertical="center"/>
    </xf>
    <xf numFmtId="0" fontId="0" fillId="6" borderId="0" xfId="0" applyFill="1"/>
    <xf numFmtId="0" fontId="9" fillId="6" borderId="0" xfId="0" applyFont="1" applyFill="1" applyAlignment="1">
      <alignment horizontal="center" vertical="center"/>
    </xf>
    <xf numFmtId="0" fontId="9" fillId="7" borderId="0" xfId="0" applyFont="1" applyFill="1"/>
    <xf numFmtId="0" fontId="11" fillId="7" borderId="0" xfId="0" applyFont="1" applyFill="1"/>
    <xf numFmtId="0" fontId="19" fillId="7" borderId="0" xfId="0" applyFont="1" applyFill="1"/>
    <xf numFmtId="0" fontId="0" fillId="7" borderId="0" xfId="0" applyFill="1"/>
    <xf numFmtId="0" fontId="11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1" fontId="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9" fillId="8" borderId="0" xfId="0" applyFont="1" applyFill="1"/>
    <xf numFmtId="0" fontId="0" fillId="8" borderId="0" xfId="0" applyFill="1"/>
    <xf numFmtId="0" fontId="14" fillId="8" borderId="0" xfId="0" applyFont="1" applyFill="1"/>
    <xf numFmtId="0" fontId="9" fillId="8" borderId="0" xfId="0" applyFont="1" applyFill="1" applyAlignment="1">
      <alignment horizontal="center" vertical="center"/>
    </xf>
    <xf numFmtId="0" fontId="0" fillId="4" borderId="0" xfId="0" applyFill="1"/>
    <xf numFmtId="0" fontId="9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2" fillId="9" borderId="1" xfId="0" applyFont="1" applyFill="1" applyBorder="1" applyAlignment="1">
      <alignment horizontal="right"/>
    </xf>
    <xf numFmtId="0" fontId="12" fillId="9" borderId="0" xfId="0" applyFont="1" applyFill="1" applyAlignment="1">
      <alignment horizontal="right"/>
    </xf>
    <xf numFmtId="0" fontId="12" fillId="9" borderId="1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 vertical="center"/>
    </xf>
    <xf numFmtId="165" fontId="21" fillId="2" borderId="4" xfId="0" applyNumberFormat="1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/>
    <xf numFmtId="164" fontId="1" fillId="5" borderId="1" xfId="0" applyNumberFormat="1" applyFont="1" applyFill="1" applyBorder="1"/>
    <xf numFmtId="167" fontId="15" fillId="4" borderId="0" xfId="0" applyNumberFormat="1" applyFont="1" applyFill="1"/>
    <xf numFmtId="0" fontId="9" fillId="3" borderId="0" xfId="0" applyFont="1" applyFill="1" applyAlignment="1">
      <alignment vertical="center"/>
    </xf>
    <xf numFmtId="3" fontId="13" fillId="10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0" fontId="36" fillId="13" borderId="1" xfId="0" applyFont="1" applyFill="1" applyBorder="1"/>
    <xf numFmtId="0" fontId="11" fillId="20" borderId="0" xfId="0" applyFont="1" applyFill="1"/>
    <xf numFmtId="0" fontId="11" fillId="21" borderId="0" xfId="0" applyFont="1" applyFill="1"/>
    <xf numFmtId="16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0" fontId="5" fillId="3" borderId="3" xfId="0" applyFont="1" applyFill="1" applyBorder="1" applyAlignment="1" applyProtection="1">
      <alignment horizontal="center" vertical="center"/>
      <protection locked="0" hidden="1"/>
    </xf>
    <xf numFmtId="164" fontId="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3" borderId="1" xfId="0" applyFont="1" applyFill="1" applyBorder="1" applyAlignment="1" applyProtection="1">
      <alignment horizontal="center" vertical="center"/>
      <protection locked="0" hidden="1"/>
    </xf>
    <xf numFmtId="0" fontId="20" fillId="3" borderId="1" xfId="0" applyFont="1" applyFill="1" applyBorder="1" applyAlignment="1" applyProtection="1">
      <alignment horizontal="center" vertical="center"/>
      <protection locked="0" hidden="1"/>
    </xf>
    <xf numFmtId="166" fontId="20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Protection="1">
      <protection hidden="1"/>
    </xf>
    <xf numFmtId="0" fontId="11" fillId="10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0" fillId="3" borderId="1" xfId="0" applyFont="1" applyFill="1" applyBorder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horizontal="center" vertical="center"/>
      <protection hidden="1"/>
    </xf>
    <xf numFmtId="164" fontId="20" fillId="3" borderId="1" xfId="0" applyNumberFormat="1" applyFont="1" applyFill="1" applyBorder="1" applyAlignment="1" applyProtection="1">
      <alignment horizontal="center" vertical="center"/>
      <protection hidden="1"/>
    </xf>
    <xf numFmtId="166" fontId="20" fillId="3" borderId="1" xfId="0" applyNumberFormat="1" applyFont="1" applyFill="1" applyBorder="1" applyAlignment="1" applyProtection="1">
      <alignment horizontal="center" vertical="center"/>
      <protection hidden="1"/>
    </xf>
    <xf numFmtId="14" fontId="21" fillId="3" borderId="1" xfId="0" applyNumberFormat="1" applyFont="1" applyFill="1" applyBorder="1" applyAlignment="1" applyProtection="1">
      <alignment horizontal="center" vertical="center"/>
      <protection hidden="1"/>
    </xf>
    <xf numFmtId="0" fontId="12" fillId="14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0" fontId="12" fillId="14" borderId="3" xfId="0" applyFont="1" applyFill="1" applyBorder="1" applyAlignment="1" applyProtection="1">
      <alignment horizontal="center" vertical="center"/>
      <protection hidden="1"/>
    </xf>
    <xf numFmtId="0" fontId="26" fillId="3" borderId="0" xfId="0" applyFont="1" applyFill="1" applyProtection="1">
      <protection hidden="1"/>
    </xf>
    <xf numFmtId="1" fontId="28" fillId="3" borderId="0" xfId="0" applyNumberFormat="1" applyFont="1" applyFill="1" applyAlignment="1" applyProtection="1">
      <alignment vertical="center"/>
      <protection hidden="1"/>
    </xf>
    <xf numFmtId="1" fontId="21" fillId="16" borderId="1" xfId="0" applyNumberFormat="1" applyFont="1" applyFill="1" applyBorder="1" applyAlignment="1" applyProtection="1">
      <alignment vertical="center"/>
      <protection hidden="1"/>
    </xf>
    <xf numFmtId="1" fontId="21" fillId="3" borderId="1" xfId="0" applyNumberFormat="1" applyFont="1" applyFill="1" applyBorder="1" applyAlignment="1" applyProtection="1">
      <alignment vertical="center"/>
      <protection hidden="1"/>
    </xf>
    <xf numFmtId="1" fontId="20" fillId="3" borderId="1" xfId="0" applyNumberFormat="1" applyFont="1" applyFill="1" applyBorder="1" applyAlignment="1" applyProtection="1">
      <alignment horizontal="center" vertical="center"/>
      <protection hidden="1"/>
    </xf>
    <xf numFmtId="0" fontId="20" fillId="3" borderId="0" xfId="0" applyFont="1" applyFill="1" applyProtection="1">
      <protection hidden="1"/>
    </xf>
    <xf numFmtId="0" fontId="29" fillId="3" borderId="0" xfId="0" applyFont="1" applyFill="1" applyAlignment="1" applyProtection="1">
      <alignment horizontal="center" vertical="center"/>
      <protection hidden="1"/>
    </xf>
    <xf numFmtId="0" fontId="30" fillId="3" borderId="0" xfId="0" applyFont="1" applyFill="1" applyProtection="1">
      <protection hidden="1"/>
    </xf>
    <xf numFmtId="0" fontId="32" fillId="3" borderId="0" xfId="0" applyFont="1" applyFill="1" applyProtection="1">
      <protection hidden="1"/>
    </xf>
    <xf numFmtId="164" fontId="21" fillId="3" borderId="1" xfId="0" applyNumberFormat="1" applyFont="1" applyFill="1" applyBorder="1" applyAlignment="1" applyProtection="1">
      <alignment horizontal="center" vertical="center"/>
      <protection hidden="1"/>
    </xf>
    <xf numFmtId="0" fontId="36" fillId="0" borderId="2" xfId="0" applyFont="1" applyBorder="1" applyAlignment="1" applyProtection="1">
      <alignment vertical="center"/>
      <protection hidden="1"/>
    </xf>
    <xf numFmtId="0" fontId="9" fillId="3" borderId="0" xfId="0" applyFont="1" applyFill="1" applyProtection="1">
      <protection hidden="1"/>
    </xf>
    <xf numFmtId="0" fontId="9" fillId="19" borderId="0" xfId="0" applyFont="1" applyFill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15" fontId="5" fillId="3" borderId="1" xfId="0" applyNumberFormat="1" applyFont="1" applyFill="1" applyBorder="1" applyAlignment="1" applyProtection="1">
      <alignment horizontal="center" vertical="center"/>
      <protection hidden="1"/>
    </xf>
    <xf numFmtId="164" fontId="5" fillId="3" borderId="1" xfId="0" applyNumberFormat="1" applyFont="1" applyFill="1" applyBorder="1" applyAlignment="1" applyProtection="1">
      <alignment horizontal="center" vertical="center"/>
      <protection hidden="1"/>
    </xf>
    <xf numFmtId="164" fontId="7" fillId="3" borderId="1" xfId="0" applyNumberFormat="1" applyFont="1" applyFill="1" applyBorder="1" applyAlignment="1" applyProtection="1">
      <alignment horizontal="center" vertical="center"/>
      <protection hidden="1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164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protection hidden="1"/>
    </xf>
    <xf numFmtId="0" fontId="9" fillId="3" borderId="0" xfId="0" applyFont="1" applyFill="1" applyAlignment="1" applyProtection="1">
      <alignment vertical="center"/>
      <protection hidden="1"/>
    </xf>
    <xf numFmtId="164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Protection="1">
      <protection hidden="1"/>
    </xf>
    <xf numFmtId="164" fontId="7" fillId="3" borderId="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4" fontId="6" fillId="0" borderId="1" xfId="0" applyNumberFormat="1" applyFont="1" applyBorder="1" applyAlignment="1" applyProtection="1">
      <alignment horizontal="center" vertical="center"/>
      <protection hidden="1"/>
    </xf>
    <xf numFmtId="1" fontId="6" fillId="0" borderId="1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center" vertical="center"/>
      <protection hidden="1"/>
    </xf>
    <xf numFmtId="164" fontId="6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center" vertical="center" wrapText="1"/>
      <protection hidden="1"/>
    </xf>
    <xf numFmtId="164" fontId="6" fillId="3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168" fontId="20" fillId="3" borderId="1" xfId="0" applyNumberFormat="1" applyFont="1" applyFill="1" applyBorder="1" applyAlignment="1" applyProtection="1">
      <alignment horizontal="center" vertical="center"/>
      <protection hidden="1"/>
    </xf>
    <xf numFmtId="168" fontId="21" fillId="3" borderId="1" xfId="0" applyNumberFormat="1" applyFont="1" applyFill="1" applyBorder="1" applyAlignment="1" applyProtection="1">
      <alignment horizontal="center" vertical="center"/>
      <protection hidden="1"/>
    </xf>
    <xf numFmtId="1" fontId="40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18" borderId="0" xfId="0" applyFont="1" applyFill="1" applyProtection="1">
      <protection hidden="1"/>
    </xf>
    <xf numFmtId="0" fontId="11" fillId="22" borderId="0" xfId="0" applyFont="1" applyFill="1" applyProtection="1">
      <protection hidden="1"/>
    </xf>
    <xf numFmtId="0" fontId="36" fillId="21" borderId="0" xfId="0" applyFont="1" applyFill="1" applyAlignment="1">
      <alignment horizontal="left"/>
    </xf>
    <xf numFmtId="0" fontId="36" fillId="2" borderId="0" xfId="0" applyFont="1" applyFill="1" applyAlignment="1">
      <alignment horizontal="center"/>
    </xf>
    <xf numFmtId="0" fontId="37" fillId="14" borderId="10" xfId="0" quotePrefix="1" applyFont="1" applyFill="1" applyBorder="1" applyAlignment="1">
      <alignment horizontal="center" vertical="center" wrapText="1"/>
    </xf>
    <xf numFmtId="0" fontId="37" fillId="14" borderId="10" xfId="0" applyFont="1" applyFill="1" applyBorder="1" applyAlignment="1">
      <alignment horizontal="center" vertical="center" wrapText="1"/>
    </xf>
    <xf numFmtId="0" fontId="37" fillId="14" borderId="0" xfId="0" applyFont="1" applyFill="1" applyAlignment="1">
      <alignment horizontal="center" vertical="center" wrapText="1"/>
    </xf>
    <xf numFmtId="0" fontId="36" fillId="13" borderId="1" xfId="0" applyFont="1" applyFill="1" applyBorder="1" applyAlignment="1">
      <alignment horizontal="left"/>
    </xf>
    <xf numFmtId="0" fontId="36" fillId="20" borderId="0" xfId="0" applyFont="1" applyFill="1" applyAlignment="1">
      <alignment horizontal="left"/>
    </xf>
    <xf numFmtId="0" fontId="36" fillId="18" borderId="1" xfId="0" applyFont="1" applyFill="1" applyBorder="1" applyAlignment="1">
      <alignment horizontal="left"/>
    </xf>
    <xf numFmtId="0" fontId="36" fillId="18" borderId="1" xfId="0" applyFont="1" applyFill="1" applyBorder="1" applyAlignment="1">
      <alignment horizontal="left" wrapText="1"/>
    </xf>
    <xf numFmtId="0" fontId="36" fillId="13" borderId="1" xfId="0" applyFont="1" applyFill="1" applyBorder="1" applyAlignment="1">
      <alignment horizontal="left" wrapText="1"/>
    </xf>
    <xf numFmtId="0" fontId="38" fillId="19" borderId="0" xfId="0" applyFont="1" applyFill="1" applyAlignment="1">
      <alignment horizontal="center"/>
    </xf>
    <xf numFmtId="0" fontId="41" fillId="22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165" fontId="13" fillId="10" borderId="3" xfId="0" applyNumberFormat="1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right" vertical="center"/>
    </xf>
    <xf numFmtId="0" fontId="12" fillId="2" borderId="4" xfId="0" applyFont="1" applyFill="1" applyBorder="1" applyAlignment="1" applyProtection="1">
      <alignment horizontal="center"/>
      <protection locked="0" hidden="1"/>
    </xf>
    <xf numFmtId="0" fontId="12" fillId="2" borderId="6" xfId="0" applyFont="1" applyFill="1" applyBorder="1" applyAlignment="1" applyProtection="1">
      <alignment horizontal="center"/>
      <protection locked="0" hidden="1"/>
    </xf>
    <xf numFmtId="0" fontId="25" fillId="12" borderId="0" xfId="0" applyFont="1" applyFill="1" applyAlignment="1">
      <alignment horizontal="center"/>
    </xf>
    <xf numFmtId="0" fontId="25" fillId="12" borderId="0" xfId="0" applyFont="1" applyFill="1" applyAlignment="1">
      <alignment horizontal="center" vertical="center"/>
    </xf>
    <xf numFmtId="0" fontId="33" fillId="17" borderId="0" xfId="0" applyFont="1" applyFill="1" applyAlignment="1">
      <alignment horizont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/>
    </xf>
    <xf numFmtId="0" fontId="18" fillId="10" borderId="6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right"/>
    </xf>
    <xf numFmtId="0" fontId="12" fillId="9" borderId="6" xfId="0" applyFont="1" applyFill="1" applyBorder="1" applyAlignment="1">
      <alignment horizontal="right"/>
    </xf>
    <xf numFmtId="0" fontId="12" fillId="2" borderId="4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7" fillId="10" borderId="3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164" fontId="2" fillId="10" borderId="3" xfId="0" applyNumberFormat="1" applyFont="1" applyFill="1" applyBorder="1" applyAlignment="1">
      <alignment horizontal="center" vertical="center"/>
    </xf>
    <xf numFmtId="164" fontId="2" fillId="10" borderId="5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 applyProtection="1">
      <alignment horizontal="center"/>
      <protection locked="0" hidden="1"/>
    </xf>
    <xf numFmtId="0" fontId="21" fillId="2" borderId="7" xfId="0" applyFont="1" applyFill="1" applyBorder="1" applyAlignment="1" applyProtection="1">
      <alignment horizontal="center"/>
      <protection locked="0" hidden="1"/>
    </xf>
    <xf numFmtId="0" fontId="21" fillId="2" borderId="6" xfId="0" applyFont="1" applyFill="1" applyBorder="1" applyAlignment="1" applyProtection="1">
      <alignment horizontal="center"/>
      <protection locked="0" hidden="1"/>
    </xf>
    <xf numFmtId="0" fontId="12" fillId="9" borderId="8" xfId="0" applyFont="1" applyFill="1" applyBorder="1" applyAlignment="1">
      <alignment horizontal="right"/>
    </xf>
    <xf numFmtId="0" fontId="12" fillId="9" borderId="9" xfId="0" applyFont="1" applyFill="1" applyBorder="1" applyAlignment="1">
      <alignment horizontal="right"/>
    </xf>
    <xf numFmtId="0" fontId="12" fillId="2" borderId="8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  <protection locked="0"/>
    </xf>
    <xf numFmtId="167" fontId="13" fillId="2" borderId="4" xfId="0" applyNumberFormat="1" applyFont="1" applyFill="1" applyBorder="1" applyAlignment="1" applyProtection="1">
      <alignment horizontal="center"/>
      <protection locked="0" hidden="1"/>
    </xf>
    <xf numFmtId="167" fontId="13" fillId="2" borderId="6" xfId="0" applyNumberFormat="1" applyFont="1" applyFill="1" applyBorder="1" applyAlignment="1" applyProtection="1">
      <alignment horizontal="center"/>
      <protection locked="0"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horizontal="center" vertical="center" wrapText="1"/>
      <protection hidden="1"/>
    </xf>
    <xf numFmtId="0" fontId="12" fillId="3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16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12" fillId="15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29" fillId="3" borderId="0" xfId="0" applyFont="1" applyFill="1" applyAlignment="1" applyProtection="1">
      <alignment horizontal="center" vertical="center"/>
      <protection hidden="1"/>
    </xf>
    <xf numFmtId="1" fontId="31" fillId="3" borderId="0" xfId="0" applyNumberFormat="1" applyFont="1" applyFill="1" applyAlignment="1" applyProtection="1">
      <alignment horizontal="center" vertical="center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7" xfId="0" applyFont="1" applyFill="1" applyBorder="1" applyAlignment="1" applyProtection="1">
      <alignment horizontal="center" vertical="center"/>
      <protection hidden="1"/>
    </xf>
    <xf numFmtId="0" fontId="11" fillId="3" borderId="6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0" fontId="27" fillId="3" borderId="0" xfId="0" applyFont="1" applyFill="1" applyAlignment="1" applyProtection="1">
      <alignment horizontal="center"/>
      <protection hidden="1"/>
    </xf>
    <xf numFmtId="14" fontId="21" fillId="3" borderId="1" xfId="0" applyNumberFormat="1" applyFont="1" applyFill="1" applyBorder="1" applyAlignment="1" applyProtection="1">
      <alignment horizontal="center" vertical="center"/>
      <protection hidden="1"/>
    </xf>
    <xf numFmtId="1" fontId="21" fillId="15" borderId="1" xfId="0" applyNumberFormat="1" applyFont="1" applyFill="1" applyBorder="1" applyAlignment="1" applyProtection="1">
      <alignment horizontal="center" vertical="center"/>
      <protection hidden="1"/>
    </xf>
    <xf numFmtId="1" fontId="21" fillId="15" borderId="3" xfId="0" applyNumberFormat="1" applyFont="1" applyFill="1" applyBorder="1" applyAlignment="1" applyProtection="1">
      <alignment horizontal="center" vertical="center"/>
      <protection hidden="1"/>
    </xf>
    <xf numFmtId="0" fontId="12" fillId="13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</xdr:colOff>
      <xdr:row>19</xdr:row>
      <xdr:rowOff>228600</xdr:rowOff>
    </xdr:from>
    <xdr:to>
      <xdr:col>22</xdr:col>
      <xdr:colOff>952500</xdr:colOff>
      <xdr:row>25</xdr:row>
      <xdr:rowOff>228600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11D1D3-6784-757B-3916-09AFE6AE6FFB}"/>
            </a:ext>
          </a:extLst>
        </xdr:cNvPr>
        <xdr:cNvSpPr/>
      </xdr:nvSpPr>
      <xdr:spPr>
        <a:xfrm>
          <a:off x="9372601" y="4276725"/>
          <a:ext cx="2476499" cy="14287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9525</xdr:colOff>
      <xdr:row>20</xdr:row>
      <xdr:rowOff>9525</xdr:rowOff>
    </xdr:from>
    <xdr:to>
      <xdr:col>23</xdr:col>
      <xdr:colOff>19050</xdr:colOff>
      <xdr:row>25</xdr:row>
      <xdr:rowOff>200026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5E3FAB-D060-8F3E-A466-D3ACD8FF7B27}"/>
            </a:ext>
          </a:extLst>
        </xdr:cNvPr>
        <xdr:cNvSpPr txBox="1"/>
      </xdr:nvSpPr>
      <xdr:spPr>
        <a:xfrm>
          <a:off x="12087225" y="4772025"/>
          <a:ext cx="3209925" cy="1381126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>
              <a:solidFill>
                <a:srgbClr val="FF0000"/>
              </a:solidFill>
              <a:latin typeface="Kruti Dev 010" pitchFamily="2" charset="0"/>
            </a:rPr>
            <a:t>;fn</a:t>
          </a:r>
          <a:r>
            <a:rPr lang="en-US" sz="2400" b="1" baseline="0">
              <a:solidFill>
                <a:srgbClr val="FF0000"/>
              </a:solidFill>
              <a:latin typeface="Kruti Dev 010" pitchFamily="2" charset="0"/>
            </a:rPr>
            <a:t> ;s lsy yky gS rks fdlh Hkh lkexzh dh nj ?kVk;sa jkf'k dk vUrj gks rks c&lt;k;saaA</a:t>
          </a:r>
          <a:endParaRPr lang="en-US" sz="2400" b="1">
            <a:solidFill>
              <a:srgbClr val="FF0000"/>
            </a:solidFill>
            <a:latin typeface="Kruti Dev 010" pitchFamily="2" charset="0"/>
          </a:endParaRPr>
        </a:p>
      </xdr:txBody>
    </xdr:sp>
    <xdr:clientData/>
  </xdr:twoCellAnchor>
  <xdr:twoCellAnchor>
    <xdr:from>
      <xdr:col>23</xdr:col>
      <xdr:colOff>47625</xdr:colOff>
      <xdr:row>23</xdr:row>
      <xdr:rowOff>66675</xdr:rowOff>
    </xdr:from>
    <xdr:to>
      <xdr:col>23</xdr:col>
      <xdr:colOff>466725</xdr:colOff>
      <xdr:row>29</xdr:row>
      <xdr:rowOff>219075</xdr:rowOff>
    </xdr:to>
    <xdr:sp macro="" textlink="">
      <xdr:nvSpPr>
        <xdr:cNvPr id="4" name="Arrow: Curved Left 3">
          <a:extLst>
            <a:ext uri="{FF2B5EF4-FFF2-40B4-BE49-F238E27FC236}">
              <a16:creationId xmlns:a16="http://schemas.microsoft.com/office/drawing/2014/main" id="{9D38645E-D22F-E55F-5B26-44586E0924D9}"/>
            </a:ext>
          </a:extLst>
        </xdr:cNvPr>
        <xdr:cNvSpPr/>
      </xdr:nvSpPr>
      <xdr:spPr>
        <a:xfrm>
          <a:off x="11906250" y="5067300"/>
          <a:ext cx="419100" cy="1581150"/>
        </a:xfrm>
        <a:prstGeom prst="curved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857250</xdr:colOff>
      <xdr:row>0</xdr:row>
      <xdr:rowOff>57150</xdr:rowOff>
    </xdr:from>
    <xdr:to>
      <xdr:col>5</xdr:col>
      <xdr:colOff>542924</xdr:colOff>
      <xdr:row>3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40B042E-54B1-F29D-ABB3-C9C0E0CE6441}"/>
            </a:ext>
          </a:extLst>
        </xdr:cNvPr>
        <xdr:cNvSpPr/>
      </xdr:nvSpPr>
      <xdr:spPr>
        <a:xfrm>
          <a:off x="3476625" y="57150"/>
          <a:ext cx="1762124" cy="828675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 b="1">
              <a:solidFill>
                <a:srgbClr val="FFFF00"/>
              </a:solidFill>
              <a:latin typeface="Kruti Dev 010" pitchFamily="2" charset="0"/>
            </a:rPr>
            <a:t>;gk¡</a:t>
          </a:r>
          <a:r>
            <a:rPr lang="en-US" sz="1800" b="1" baseline="0">
              <a:solidFill>
                <a:srgbClr val="FFFF00"/>
              </a:solidFill>
              <a:latin typeface="Kruti Dev 010" pitchFamily="2" charset="0"/>
            </a:rPr>
            <a:t> ls </a:t>
          </a:r>
          <a:r>
            <a:rPr lang="en-US" sz="1800" b="1">
              <a:solidFill>
                <a:srgbClr val="FFFF00"/>
              </a:solidFill>
              <a:latin typeface="Kruti Dev 010" pitchFamily="2" charset="0"/>
            </a:rPr>
            <a:t>lkexzh</a:t>
          </a:r>
          <a:r>
            <a:rPr lang="en-US" sz="1800" b="1" baseline="0">
              <a:solidFill>
                <a:srgbClr val="FFFF00"/>
              </a:solidFill>
              <a:latin typeface="Kruti Dev 010" pitchFamily="2" charset="0"/>
            </a:rPr>
            <a:t> dh ek=k dks ,fMV dj ldrs gSaA</a:t>
          </a:r>
          <a:endParaRPr lang="en-US" sz="2000" b="1">
            <a:solidFill>
              <a:srgbClr val="FFFF00"/>
            </a:solidFill>
            <a:latin typeface="Kruti Dev 010" pitchFamily="2" charset="0"/>
          </a:endParaRPr>
        </a:p>
      </xdr:txBody>
    </xdr:sp>
    <xdr:clientData/>
  </xdr:twoCellAnchor>
  <xdr:twoCellAnchor>
    <xdr:from>
      <xdr:col>3</xdr:col>
      <xdr:colOff>992506</xdr:colOff>
      <xdr:row>3</xdr:row>
      <xdr:rowOff>200025</xdr:rowOff>
    </xdr:from>
    <xdr:to>
      <xdr:col>3</xdr:col>
      <xdr:colOff>1038225</xdr:colOff>
      <xdr:row>6</xdr:row>
      <xdr:rowOff>142875</xdr:rowOff>
    </xdr:to>
    <xdr:sp macro="" textlink="">
      <xdr:nvSpPr>
        <xdr:cNvPr id="9" name="Arrow: Down 8">
          <a:extLst>
            <a:ext uri="{FF2B5EF4-FFF2-40B4-BE49-F238E27FC236}">
              <a16:creationId xmlns:a16="http://schemas.microsoft.com/office/drawing/2014/main" id="{06AC3A4D-8CE4-9C06-EBBD-D5B697EB8695}"/>
            </a:ext>
          </a:extLst>
        </xdr:cNvPr>
        <xdr:cNvSpPr/>
      </xdr:nvSpPr>
      <xdr:spPr>
        <a:xfrm>
          <a:off x="3611881" y="914400"/>
          <a:ext cx="45719" cy="65722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695325</xdr:colOff>
      <xdr:row>1</xdr:row>
      <xdr:rowOff>28575</xdr:rowOff>
    </xdr:from>
    <xdr:to>
      <xdr:col>16</xdr:col>
      <xdr:colOff>123825</xdr:colOff>
      <xdr:row>2</xdr:row>
      <xdr:rowOff>228600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0A66D25E-74EE-B20C-78F1-4DDEF2AA2AA8}"/>
            </a:ext>
          </a:extLst>
        </xdr:cNvPr>
        <xdr:cNvSpPr/>
      </xdr:nvSpPr>
      <xdr:spPr>
        <a:xfrm>
          <a:off x="7429500" y="266700"/>
          <a:ext cx="2047875" cy="438150"/>
        </a:xfrm>
        <a:prstGeom prst="roundRect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 b="1">
              <a:solidFill>
                <a:srgbClr val="FFFF00"/>
              </a:solidFill>
              <a:latin typeface="Kruti Dev 010" pitchFamily="2" charset="0"/>
            </a:rPr>
            <a:t>;gk¡ lCth dk uke Mkysa</a:t>
          </a:r>
        </a:p>
      </xdr:txBody>
    </xdr:sp>
    <xdr:clientData/>
  </xdr:twoCellAnchor>
  <xdr:twoCellAnchor>
    <xdr:from>
      <xdr:col>15</xdr:col>
      <xdr:colOff>533400</xdr:colOff>
      <xdr:row>3</xdr:row>
      <xdr:rowOff>9525</xdr:rowOff>
    </xdr:from>
    <xdr:to>
      <xdr:col>15</xdr:col>
      <xdr:colOff>579119</xdr:colOff>
      <xdr:row>4</xdr:row>
      <xdr:rowOff>219075</xdr:rowOff>
    </xdr:to>
    <xdr:sp macro="" textlink="">
      <xdr:nvSpPr>
        <xdr:cNvPr id="11" name="Arrow: Down 10">
          <a:extLst>
            <a:ext uri="{FF2B5EF4-FFF2-40B4-BE49-F238E27FC236}">
              <a16:creationId xmlns:a16="http://schemas.microsoft.com/office/drawing/2014/main" id="{42B805DA-0375-26A2-7710-29D072800C12}"/>
            </a:ext>
          </a:extLst>
        </xdr:cNvPr>
        <xdr:cNvSpPr/>
      </xdr:nvSpPr>
      <xdr:spPr>
        <a:xfrm>
          <a:off x="8210550" y="723900"/>
          <a:ext cx="45719" cy="4476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B066-023D-4261-9F6E-113B674FA6C1}">
  <sheetPr codeName="Sheet5"/>
  <dimension ref="A1:S17"/>
  <sheetViews>
    <sheetView workbookViewId="0">
      <selection activeCell="O4" sqref="O4:S6"/>
    </sheetView>
  </sheetViews>
  <sheetFormatPr defaultRowHeight="18.75"/>
  <cols>
    <col min="1" max="1" width="3" style="58" customWidth="1"/>
    <col min="2" max="2" width="5" style="58" customWidth="1"/>
    <col min="3" max="13" width="9.140625" style="58"/>
    <col min="14" max="14" width="2.7109375" style="58" customWidth="1"/>
    <col min="15" max="16384" width="9.140625" style="58"/>
  </cols>
  <sheetData>
    <row r="1" spans="1:19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9" ht="26.25">
      <c r="A2" s="57"/>
      <c r="B2" s="125" t="s">
        <v>92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57"/>
      <c r="O2" s="134" t="s">
        <v>99</v>
      </c>
      <c r="P2" s="134"/>
      <c r="Q2" s="134"/>
      <c r="R2" s="134"/>
      <c r="S2" s="134"/>
    </row>
    <row r="3" spans="1:19" ht="26.25">
      <c r="A3" s="57"/>
      <c r="B3" s="55">
        <v>1</v>
      </c>
      <c r="C3" s="131" t="s">
        <v>93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57"/>
      <c r="O3" s="134">
        <v>9664061084</v>
      </c>
      <c r="P3" s="134"/>
      <c r="Q3" s="134"/>
      <c r="R3" s="134"/>
      <c r="S3" s="134"/>
    </row>
    <row r="4" spans="1:19" ht="23.25" customHeight="1">
      <c r="A4" s="57"/>
      <c r="B4" s="56">
        <v>2</v>
      </c>
      <c r="C4" s="129" t="s">
        <v>94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57"/>
      <c r="O4" s="135" t="s">
        <v>114</v>
      </c>
      <c r="P4" s="135"/>
      <c r="Q4" s="135"/>
      <c r="R4" s="135"/>
      <c r="S4" s="135"/>
    </row>
    <row r="5" spans="1:19" ht="45.75" customHeight="1">
      <c r="A5" s="57"/>
      <c r="B5" s="55">
        <v>3</v>
      </c>
      <c r="C5" s="132" t="s">
        <v>95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57"/>
      <c r="O5" s="135"/>
      <c r="P5" s="135"/>
      <c r="Q5" s="135"/>
      <c r="R5" s="135"/>
      <c r="S5" s="135"/>
    </row>
    <row r="6" spans="1:19" ht="45.75" customHeight="1">
      <c r="A6" s="57"/>
      <c r="B6" s="56">
        <v>4</v>
      </c>
      <c r="C6" s="133" t="s">
        <v>100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57"/>
      <c r="O6" s="135"/>
      <c r="P6" s="135"/>
      <c r="Q6" s="135"/>
      <c r="R6" s="135"/>
      <c r="S6" s="135"/>
    </row>
    <row r="7" spans="1:19" ht="50.25" customHeight="1">
      <c r="A7" s="57"/>
      <c r="B7" s="55">
        <v>5</v>
      </c>
      <c r="C7" s="132" t="s">
        <v>96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57"/>
    </row>
    <row r="8" spans="1:19" ht="23.25" customHeight="1">
      <c r="A8" s="57"/>
      <c r="B8" s="56">
        <v>6</v>
      </c>
      <c r="C8" s="129" t="s">
        <v>97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57"/>
    </row>
    <row r="9" spans="1:19" ht="23.25" customHeight="1">
      <c r="A9" s="57"/>
      <c r="B9" s="126" t="s">
        <v>98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57"/>
    </row>
    <row r="10" spans="1:19" ht="23.25" customHeight="1">
      <c r="A10" s="57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57"/>
    </row>
    <row r="11" spans="1:19" ht="23.25" customHeight="1">
      <c r="A11" s="57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57"/>
    </row>
    <row r="12" spans="1:19" ht="15" customHeight="1">
      <c r="A12" s="57"/>
      <c r="B12" s="57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57"/>
    </row>
    <row r="13" spans="1:19" ht="23.25"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</row>
    <row r="14" spans="1:19" ht="23.25"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</row>
    <row r="15" spans="1:19" ht="23.25"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</row>
    <row r="16" spans="1:19" ht="23.25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</row>
    <row r="17" spans="3:13" ht="23.25"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</row>
  </sheetData>
  <sheetProtection algorithmName="SHA-512" hashValue="LbXxmkALrlNO8OfmEttCk5Pki+yk2vU0sUgjmUzUbuVismhTPjwgUWhFW6FSNDVF0aE0RlC0ExDltOToPUvayQ==" saltValue="g+NlLpuPX/nVTuTjp87EXA==" spinCount="100000" sheet="1" objects="1" scenarios="1"/>
  <mergeCells count="17">
    <mergeCell ref="O2:S2"/>
    <mergeCell ref="O3:S3"/>
    <mergeCell ref="C14:M14"/>
    <mergeCell ref="C15:M15"/>
    <mergeCell ref="C16:M16"/>
    <mergeCell ref="O4:S6"/>
    <mergeCell ref="C17:M17"/>
    <mergeCell ref="B2:M2"/>
    <mergeCell ref="B9:M11"/>
    <mergeCell ref="C8:M8"/>
    <mergeCell ref="C12:M12"/>
    <mergeCell ref="C13:M13"/>
    <mergeCell ref="C3:M3"/>
    <mergeCell ref="C4:M4"/>
    <mergeCell ref="C5:M5"/>
    <mergeCell ref="C6:M6"/>
    <mergeCell ref="C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D8BD-4510-42AA-94FA-42E7E5CAE8F7}">
  <sheetPr codeName="Sheet1"/>
  <dimension ref="A1:N42"/>
  <sheetViews>
    <sheetView zoomScale="118" zoomScaleNormal="118" workbookViewId="0">
      <selection activeCell="C5" sqref="C5:D5"/>
    </sheetView>
  </sheetViews>
  <sheetFormatPr defaultRowHeight="15"/>
  <cols>
    <col min="1" max="1" width="0.7109375" style="36" customWidth="1"/>
    <col min="2" max="2" width="25.28515625" style="36" customWidth="1"/>
    <col min="3" max="3" width="15.42578125" style="36" customWidth="1"/>
    <col min="4" max="4" width="13.42578125" style="36" customWidth="1"/>
    <col min="5" max="5" width="14.140625" style="36" customWidth="1"/>
    <col min="6" max="6" width="12.85546875" style="36" customWidth="1"/>
    <col min="7" max="7" width="13.85546875" style="36" customWidth="1"/>
    <col min="8" max="8" width="12.42578125" style="36" customWidth="1"/>
    <col min="9" max="9" width="0.5703125" style="36" customWidth="1"/>
    <col min="10" max="12" width="9.140625" style="36"/>
    <col min="13" max="13" width="0.140625" style="36" customWidth="1"/>
    <col min="14" max="14" width="9.140625" style="36" hidden="1" customWidth="1"/>
    <col min="15" max="16384" width="9.140625" style="36"/>
  </cols>
  <sheetData>
    <row r="1" spans="1:14" ht="3.75" customHeight="1">
      <c r="A1" s="33"/>
      <c r="B1" s="33"/>
      <c r="C1" s="33"/>
      <c r="D1" s="33"/>
      <c r="E1" s="33"/>
      <c r="F1" s="33"/>
      <c r="G1" s="33"/>
      <c r="H1" s="33"/>
      <c r="I1" s="33"/>
    </row>
    <row r="2" spans="1:14" s="37" customFormat="1" ht="18.75">
      <c r="A2" s="32"/>
      <c r="B2" s="40" t="s">
        <v>21</v>
      </c>
      <c r="C2" s="157"/>
      <c r="D2" s="158"/>
      <c r="E2" s="158"/>
      <c r="F2" s="158"/>
      <c r="G2" s="158"/>
      <c r="H2" s="159"/>
      <c r="I2" s="32"/>
      <c r="J2" s="136" t="s">
        <v>82</v>
      </c>
      <c r="K2" s="136"/>
      <c r="L2" s="136"/>
      <c r="M2" s="136"/>
      <c r="N2" s="136"/>
    </row>
    <row r="3" spans="1:14" s="37" customFormat="1" ht="18.75">
      <c r="A3" s="32"/>
      <c r="B3" s="40" t="s">
        <v>22</v>
      </c>
      <c r="C3" s="140" t="s">
        <v>24</v>
      </c>
      <c r="D3" s="141"/>
      <c r="E3" s="149" t="s">
        <v>23</v>
      </c>
      <c r="F3" s="150"/>
      <c r="G3" s="151" t="s">
        <v>73</v>
      </c>
      <c r="H3" s="152"/>
      <c r="I3" s="32"/>
      <c r="J3" s="136"/>
      <c r="K3" s="136"/>
      <c r="L3" s="136"/>
      <c r="M3" s="136"/>
      <c r="N3" s="136"/>
    </row>
    <row r="4" spans="1:14" s="37" customFormat="1" ht="18.75">
      <c r="A4" s="32"/>
      <c r="B4" s="41" t="s">
        <v>79</v>
      </c>
      <c r="C4" s="140">
        <v>9664061084</v>
      </c>
      <c r="D4" s="141"/>
      <c r="E4" s="149" t="s">
        <v>79</v>
      </c>
      <c r="F4" s="150"/>
      <c r="G4" s="151">
        <v>9664061084</v>
      </c>
      <c r="H4" s="152"/>
      <c r="I4" s="32"/>
      <c r="J4" s="136"/>
      <c r="K4" s="136"/>
      <c r="L4" s="136"/>
      <c r="M4" s="136"/>
      <c r="N4" s="136"/>
    </row>
    <row r="5" spans="1:14" s="37" customFormat="1" ht="18.75">
      <c r="A5" s="32"/>
      <c r="B5" s="40" t="s">
        <v>25</v>
      </c>
      <c r="C5" s="164">
        <v>45901</v>
      </c>
      <c r="D5" s="165"/>
      <c r="E5" s="160" t="s">
        <v>78</v>
      </c>
      <c r="F5" s="161"/>
      <c r="G5" s="162" t="s">
        <v>115</v>
      </c>
      <c r="H5" s="163"/>
      <c r="I5" s="32"/>
      <c r="J5" s="136"/>
      <c r="K5" s="136"/>
      <c r="L5" s="136"/>
      <c r="M5" s="136"/>
      <c r="N5" s="136"/>
    </row>
    <row r="6" spans="1:14" s="37" customFormat="1" ht="18.75">
      <c r="A6" s="32"/>
      <c r="B6" s="139" t="s">
        <v>80</v>
      </c>
      <c r="C6" s="42" t="s">
        <v>26</v>
      </c>
      <c r="D6" s="43" t="s">
        <v>27</v>
      </c>
      <c r="E6" s="142" t="s">
        <v>81</v>
      </c>
      <c r="F6" s="142"/>
      <c r="G6" s="142"/>
      <c r="H6" s="142"/>
      <c r="I6" s="32"/>
    </row>
    <row r="7" spans="1:14" s="37" customFormat="1" ht="18.75">
      <c r="A7" s="32"/>
      <c r="B7" s="139"/>
      <c r="C7" s="44">
        <v>6.78</v>
      </c>
      <c r="D7" s="45">
        <v>10.17</v>
      </c>
      <c r="E7" s="143" t="s">
        <v>91</v>
      </c>
      <c r="F7" s="143"/>
      <c r="G7" s="143"/>
      <c r="H7" s="143"/>
      <c r="I7" s="32"/>
    </row>
    <row r="8" spans="1:14" s="37" customFormat="1" ht="15.75" customHeight="1">
      <c r="A8" s="32"/>
      <c r="B8" s="144" t="s">
        <v>28</v>
      </c>
      <c r="C8" s="144"/>
      <c r="D8" s="144"/>
      <c r="E8" s="144"/>
      <c r="F8" s="144"/>
      <c r="G8" s="144"/>
      <c r="H8" s="144"/>
      <c r="I8" s="32"/>
    </row>
    <row r="9" spans="1:14" s="37" customFormat="1" ht="0.75" customHeight="1">
      <c r="A9" s="32"/>
      <c r="B9" s="13"/>
      <c r="C9" s="13"/>
      <c r="D9" s="13"/>
      <c r="E9" s="13"/>
      <c r="F9" s="13"/>
      <c r="G9" s="13"/>
      <c r="H9" s="13"/>
      <c r="I9" s="32"/>
    </row>
    <row r="10" spans="1:14" s="37" customFormat="1" ht="16.5">
      <c r="A10" s="32"/>
      <c r="B10" s="145" t="s">
        <v>29</v>
      </c>
      <c r="C10" s="146" t="s">
        <v>26</v>
      </c>
      <c r="D10" s="147"/>
      <c r="E10" s="148" t="s">
        <v>27</v>
      </c>
      <c r="F10" s="148"/>
      <c r="G10" s="145" t="s">
        <v>38</v>
      </c>
      <c r="H10" s="145" t="s">
        <v>32</v>
      </c>
      <c r="I10" s="32"/>
    </row>
    <row r="11" spans="1:14" s="37" customFormat="1" ht="34.5" customHeight="1">
      <c r="A11" s="32"/>
      <c r="B11" s="145"/>
      <c r="C11" s="46" t="s">
        <v>76</v>
      </c>
      <c r="D11" s="46" t="s">
        <v>77</v>
      </c>
      <c r="E11" s="46" t="s">
        <v>76</v>
      </c>
      <c r="F11" s="46" t="s">
        <v>77</v>
      </c>
      <c r="G11" s="145"/>
      <c r="H11" s="145"/>
      <c r="I11" s="32"/>
    </row>
    <row r="12" spans="1:14" s="37" customFormat="1" ht="15.75">
      <c r="A12" s="32"/>
      <c r="B12" s="48" t="s">
        <v>33</v>
      </c>
      <c r="C12" s="59">
        <v>1001.1</v>
      </c>
      <c r="D12" s="59">
        <v>327.5</v>
      </c>
      <c r="E12" s="59">
        <v>965.9</v>
      </c>
      <c r="F12" s="59">
        <v>230.8</v>
      </c>
      <c r="G12" s="47" t="s">
        <v>39</v>
      </c>
      <c r="H12" s="137">
        <f>Sheet2!H6</f>
        <v>6929</v>
      </c>
      <c r="I12" s="32"/>
    </row>
    <row r="13" spans="1:14" s="37" customFormat="1" ht="15.75">
      <c r="A13" s="32"/>
      <c r="B13" s="48" t="s">
        <v>34</v>
      </c>
      <c r="C13" s="59">
        <v>200</v>
      </c>
      <c r="D13" s="59">
        <v>150</v>
      </c>
      <c r="E13" s="59">
        <v>0</v>
      </c>
      <c r="F13" s="59">
        <v>0</v>
      </c>
      <c r="G13" s="54">
        <f>'DAILY REGESTER'!B35</f>
        <v>1022</v>
      </c>
      <c r="H13" s="138"/>
      <c r="I13" s="32"/>
    </row>
    <row r="14" spans="1:14" s="37" customFormat="1" ht="15.75">
      <c r="A14" s="32"/>
      <c r="B14" s="48" t="s">
        <v>35</v>
      </c>
      <c r="C14" s="49">
        <f>SUM(C12:C13)</f>
        <v>1201.0999999999999</v>
      </c>
      <c r="D14" s="49">
        <f>SUM(D12:D13)</f>
        <v>477.5</v>
      </c>
      <c r="E14" s="49">
        <f>SUM(E12:E13)</f>
        <v>965.9</v>
      </c>
      <c r="F14" s="49">
        <f>SUM(F12:F13)</f>
        <v>230.8</v>
      </c>
      <c r="G14" s="47" t="s">
        <v>40</v>
      </c>
      <c r="H14" s="137">
        <f>Sheet2!H8</f>
        <v>19567</v>
      </c>
      <c r="I14" s="32"/>
    </row>
    <row r="15" spans="1:14" s="37" customFormat="1" ht="15.75">
      <c r="A15" s="32"/>
      <c r="B15" s="48" t="s">
        <v>36</v>
      </c>
      <c r="C15" s="49">
        <f>Sheet2!C9</f>
        <v>64.099999999999994</v>
      </c>
      <c r="D15" s="49">
        <f>Sheet2!D9</f>
        <v>38.1</v>
      </c>
      <c r="E15" s="49">
        <f>Sheet2!E9</f>
        <v>175.79999999999998</v>
      </c>
      <c r="F15" s="49">
        <f>Sheet2!F9</f>
        <v>112.8</v>
      </c>
      <c r="G15" s="54">
        <f>'DAILY REGESTER'!C35</f>
        <v>1924</v>
      </c>
      <c r="H15" s="138"/>
      <c r="I15" s="32"/>
    </row>
    <row r="16" spans="1:14" s="37" customFormat="1">
      <c r="A16" s="32"/>
      <c r="B16" s="153" t="s">
        <v>37</v>
      </c>
      <c r="C16" s="155">
        <f>C14-C15</f>
        <v>1137</v>
      </c>
      <c r="D16" s="155">
        <f t="shared" ref="D16:F16" si="0">D14-D15</f>
        <v>439.4</v>
      </c>
      <c r="E16" s="155">
        <f t="shared" si="0"/>
        <v>790.1</v>
      </c>
      <c r="F16" s="155">
        <f t="shared" si="0"/>
        <v>118.00000000000001</v>
      </c>
      <c r="G16" s="47" t="s">
        <v>41</v>
      </c>
      <c r="H16" s="137">
        <f>Sheet2!H10</f>
        <v>26496</v>
      </c>
      <c r="I16" s="32"/>
    </row>
    <row r="17" spans="1:9" s="37" customFormat="1">
      <c r="A17" s="32"/>
      <c r="B17" s="154"/>
      <c r="C17" s="156"/>
      <c r="D17" s="156"/>
      <c r="E17" s="156"/>
      <c r="F17" s="156"/>
      <c r="G17" s="54">
        <f>G13+G15</f>
        <v>2946</v>
      </c>
      <c r="H17" s="138"/>
      <c r="I17" s="32"/>
    </row>
    <row r="18" spans="1:9" s="37" customFormat="1" ht="3" customHeight="1">
      <c r="A18" s="32"/>
      <c r="B18" s="35"/>
      <c r="C18" s="32"/>
      <c r="D18" s="32"/>
      <c r="E18" s="32"/>
      <c r="F18" s="32"/>
      <c r="G18" s="34"/>
      <c r="H18" s="32"/>
      <c r="I18" s="32"/>
    </row>
    <row r="19" spans="1:9" ht="16.5">
      <c r="G19" s="38"/>
    </row>
    <row r="20" spans="1:9" ht="16.5">
      <c r="G20" s="38"/>
    </row>
    <row r="21" spans="1:9" ht="16.5">
      <c r="G21" s="38"/>
    </row>
    <row r="22" spans="1:9" ht="14.25" customHeight="1">
      <c r="G22" s="37"/>
    </row>
    <row r="23" spans="1:9">
      <c r="G23" s="37"/>
    </row>
    <row r="24" spans="1:9">
      <c r="G24" s="37"/>
    </row>
    <row r="25" spans="1:9">
      <c r="G25" s="37"/>
    </row>
    <row r="26" spans="1:9">
      <c r="G26" s="37"/>
    </row>
    <row r="27" spans="1:9" ht="18.75" hidden="1" customHeight="1">
      <c r="G27" s="37"/>
    </row>
    <row r="28" spans="1:9" hidden="1">
      <c r="G28" s="37"/>
    </row>
    <row r="29" spans="1:9" ht="16.5" hidden="1">
      <c r="D29" s="52">
        <v>46023</v>
      </c>
      <c r="G29" s="37"/>
    </row>
    <row r="30" spans="1:9" ht="16.5" hidden="1">
      <c r="D30" s="52">
        <v>46054</v>
      </c>
      <c r="G30" s="37"/>
    </row>
    <row r="31" spans="1:9" ht="16.5" hidden="1">
      <c r="D31" s="52">
        <v>46082</v>
      </c>
      <c r="G31" s="37"/>
    </row>
    <row r="32" spans="1:9" ht="16.5" hidden="1">
      <c r="D32" s="52">
        <v>45748</v>
      </c>
    </row>
    <row r="33" spans="4:4" ht="16.5" hidden="1">
      <c r="D33" s="52">
        <v>45778</v>
      </c>
    </row>
    <row r="34" spans="4:4" ht="16.5" hidden="1">
      <c r="D34" s="52">
        <v>45809</v>
      </c>
    </row>
    <row r="35" spans="4:4" ht="16.5" hidden="1">
      <c r="D35" s="52">
        <v>45839</v>
      </c>
    </row>
    <row r="36" spans="4:4" ht="16.5" hidden="1">
      <c r="D36" s="52">
        <v>45870</v>
      </c>
    </row>
    <row r="37" spans="4:4" ht="16.5" hidden="1">
      <c r="D37" s="52">
        <v>45901</v>
      </c>
    </row>
    <row r="38" spans="4:4" ht="16.5" hidden="1">
      <c r="D38" s="52">
        <v>45931</v>
      </c>
    </row>
    <row r="39" spans="4:4" ht="16.5" hidden="1">
      <c r="D39" s="52">
        <v>45962</v>
      </c>
    </row>
    <row r="40" spans="4:4" ht="16.5" hidden="1">
      <c r="D40" s="52">
        <v>45992</v>
      </c>
    </row>
    <row r="41" spans="4:4" ht="16.5" hidden="1">
      <c r="D41" s="39"/>
    </row>
    <row r="42" spans="4:4" ht="16.5" hidden="1">
      <c r="D42" s="39"/>
    </row>
  </sheetData>
  <sheetProtection algorithmName="SHA-512" hashValue="4BgfFSkBMLaQAazNbBGlkyCxxgr08HAIuM7HwsmXbxVO6nISIg3S+uDHMYow+TpM+bMFl4FJu/N73MClpYYuXw==" saltValue="P6AYpRmI24JEdfcuE38B1A==" spinCount="100000" sheet="1" objects="1" scenarios="1"/>
  <mergeCells count="28">
    <mergeCell ref="C2:H2"/>
    <mergeCell ref="E4:F4"/>
    <mergeCell ref="G4:H4"/>
    <mergeCell ref="E5:F5"/>
    <mergeCell ref="G5:H5"/>
    <mergeCell ref="C5:D5"/>
    <mergeCell ref="H16:H17"/>
    <mergeCell ref="B16:B17"/>
    <mergeCell ref="C16:C17"/>
    <mergeCell ref="D16:D17"/>
    <mergeCell ref="E16:E17"/>
    <mergeCell ref="F16:F17"/>
    <mergeCell ref="J2:N5"/>
    <mergeCell ref="H12:H13"/>
    <mergeCell ref="H14:H15"/>
    <mergeCell ref="B6:B7"/>
    <mergeCell ref="C3:D3"/>
    <mergeCell ref="C4:D4"/>
    <mergeCell ref="E6:H6"/>
    <mergeCell ref="E7:H7"/>
    <mergeCell ref="B8:H8"/>
    <mergeCell ref="B10:B11"/>
    <mergeCell ref="C10:D10"/>
    <mergeCell ref="E10:F10"/>
    <mergeCell ref="G10:G11"/>
    <mergeCell ref="H10:H11"/>
    <mergeCell ref="E3:F3"/>
    <mergeCell ref="G3:H3"/>
  </mergeCells>
  <phoneticPr fontId="23" type="noConversion"/>
  <dataValidations count="1">
    <dataValidation type="list" allowBlank="1" showInputMessage="1" showErrorMessage="1" sqref="C5" xr:uid="{D6738674-F603-417B-80F6-B851AF83BCA0}">
      <formula1>$D$29:$D$40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X38"/>
  <sheetViews>
    <sheetView zoomScale="77" zoomScaleNormal="77" workbookViewId="0">
      <selection activeCell="G21" sqref="G20:G21"/>
    </sheetView>
  </sheetViews>
  <sheetFormatPr defaultColWidth="8.7109375" defaultRowHeight="15"/>
  <cols>
    <col min="1" max="1" width="12.85546875" style="1" customWidth="1"/>
    <col min="2" max="2" width="9" style="1" customWidth="1"/>
    <col min="3" max="3" width="8.7109375" style="1" customWidth="1"/>
    <col min="4" max="4" width="8.7109375" style="1" hidden="1" customWidth="1"/>
    <col min="5" max="5" width="10.85546875" style="1" customWidth="1"/>
    <col min="6" max="6" width="8.85546875" style="1" customWidth="1"/>
    <col min="7" max="7" width="10.42578125" style="1" customWidth="1"/>
    <col min="8" max="8" width="8.7109375" style="1" customWidth="1"/>
    <col min="9" max="9" width="12.7109375" style="4" customWidth="1"/>
    <col min="10" max="10" width="10.140625" style="12" customWidth="1"/>
    <col min="11" max="11" width="8.7109375" style="1" customWidth="1"/>
    <col min="12" max="12" width="10.140625" style="1" customWidth="1"/>
    <col min="13" max="13" width="9.28515625" style="1" customWidth="1"/>
    <col min="14" max="14" width="11.85546875" style="4" customWidth="1"/>
    <col min="15" max="15" width="13.28515625" style="1" customWidth="1"/>
    <col min="16" max="26" width="8.7109375" style="9" hidden="1" customWidth="1"/>
    <col min="27" max="29" width="8.7109375" style="9"/>
    <col min="30" max="30" width="10.140625" style="9" bestFit="1" customWidth="1"/>
    <col min="31" max="51" width="8.7109375" style="9"/>
    <col min="52" max="76" width="8.7109375" style="7"/>
    <col min="77" max="16384" width="8.7109375" style="1"/>
  </cols>
  <sheetData>
    <row r="1" spans="1:76" ht="25.5" customHeight="1">
      <c r="A1" s="166">
        <f>'DATA ENTRY'!C2</f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91"/>
      <c r="Q1" s="91"/>
      <c r="R1" s="91"/>
      <c r="S1" s="91"/>
      <c r="T1" s="91"/>
      <c r="U1" s="91"/>
      <c r="V1" s="92"/>
      <c r="W1" s="92"/>
      <c r="X1" s="92"/>
      <c r="Y1" s="92"/>
      <c r="Z1" s="92"/>
      <c r="AA1" s="93"/>
      <c r="AB1" s="93"/>
      <c r="AC1" s="93"/>
      <c r="AD1" s="93"/>
      <c r="AE1" s="93"/>
    </row>
    <row r="2" spans="1:76" ht="21.75" customHeight="1">
      <c r="A2" s="172" t="s">
        <v>10</v>
      </c>
      <c r="B2" s="173" t="s">
        <v>2</v>
      </c>
      <c r="C2" s="173"/>
      <c r="D2" s="95"/>
      <c r="E2" s="172" t="s">
        <v>7</v>
      </c>
      <c r="F2" s="172"/>
      <c r="G2" s="172"/>
      <c r="H2" s="172"/>
      <c r="I2" s="172"/>
      <c r="J2" s="172" t="s">
        <v>8</v>
      </c>
      <c r="K2" s="172"/>
      <c r="L2" s="172"/>
      <c r="M2" s="172"/>
      <c r="N2" s="172"/>
      <c r="O2" s="170" t="s">
        <v>9</v>
      </c>
      <c r="P2" s="169" t="s">
        <v>18</v>
      </c>
      <c r="Q2" s="169" t="s">
        <v>16</v>
      </c>
      <c r="R2" s="169" t="s">
        <v>19</v>
      </c>
      <c r="S2" s="169" t="s">
        <v>17</v>
      </c>
      <c r="T2" s="169" t="s">
        <v>15</v>
      </c>
      <c r="U2" s="169" t="s">
        <v>20</v>
      </c>
      <c r="V2" s="169" t="s">
        <v>20</v>
      </c>
      <c r="W2" s="92"/>
      <c r="X2" s="92"/>
      <c r="Y2" s="92"/>
      <c r="Z2" s="92"/>
      <c r="AA2" s="167" t="s">
        <v>82</v>
      </c>
      <c r="AB2" s="167"/>
      <c r="AC2" s="167"/>
      <c r="AD2" s="167"/>
      <c r="AE2" s="167"/>
      <c r="AF2" s="53"/>
      <c r="AG2" s="53"/>
      <c r="AH2" s="53"/>
    </row>
    <row r="3" spans="1:76" ht="63">
      <c r="A3" s="172"/>
      <c r="B3" s="96" t="s">
        <v>0</v>
      </c>
      <c r="C3" s="96" t="s">
        <v>1</v>
      </c>
      <c r="D3" s="96"/>
      <c r="E3" s="96" t="s">
        <v>3</v>
      </c>
      <c r="F3" s="96" t="s">
        <v>4</v>
      </c>
      <c r="G3" s="94" t="s">
        <v>13</v>
      </c>
      <c r="H3" s="94" t="s">
        <v>5</v>
      </c>
      <c r="I3" s="97" t="s">
        <v>6</v>
      </c>
      <c r="J3" s="96" t="s">
        <v>3</v>
      </c>
      <c r="K3" s="96" t="s">
        <v>4</v>
      </c>
      <c r="L3" s="94" t="s">
        <v>13</v>
      </c>
      <c r="M3" s="94" t="s">
        <v>5</v>
      </c>
      <c r="N3" s="97" t="s">
        <v>6</v>
      </c>
      <c r="O3" s="170"/>
      <c r="P3" s="169"/>
      <c r="Q3" s="169"/>
      <c r="R3" s="169"/>
      <c r="S3" s="169"/>
      <c r="T3" s="169"/>
      <c r="U3" s="169"/>
      <c r="V3" s="169"/>
      <c r="W3" s="92"/>
      <c r="X3" s="92"/>
      <c r="Y3" s="92"/>
      <c r="Z3" s="92"/>
      <c r="AA3" s="168" t="s">
        <v>83</v>
      </c>
      <c r="AB3" s="168"/>
      <c r="AC3" s="168"/>
      <c r="AD3" s="168"/>
      <c r="AE3" s="168"/>
      <c r="AF3" s="53"/>
      <c r="AG3" s="53"/>
      <c r="AH3" s="53"/>
    </row>
    <row r="4" spans="1:76" ht="15.75">
      <c r="A4" s="98">
        <f>'DATA ENTRY'!C5</f>
        <v>45901</v>
      </c>
      <c r="B4" s="121">
        <v>56</v>
      </c>
      <c r="C4" s="121">
        <v>104</v>
      </c>
      <c r="D4" s="31">
        <f>SUM(B4:C4)</f>
        <v>160</v>
      </c>
      <c r="E4" s="62">
        <f>'DATA ENTRY'!C12+'DATA ENTRY'!E12</f>
        <v>1967</v>
      </c>
      <c r="F4" s="62"/>
      <c r="G4" s="99">
        <f>E4+F4</f>
        <v>1967</v>
      </c>
      <c r="H4" s="99">
        <f t="shared" ref="H4:H34" si="0">IF(AND(ISNUMBER(SEARCH("गेहूं", O4))),(B4*100/1000)+(C4*150/1000),0)</f>
        <v>21.2</v>
      </c>
      <c r="I4" s="100">
        <f t="shared" ref="I4:I35" si="1">G4-H4</f>
        <v>1945.8</v>
      </c>
      <c r="J4" s="101">
        <f>'DATA ENTRY'!D12+'DATA ENTRY'!F12</f>
        <v>558.29999999999995</v>
      </c>
      <c r="K4" s="62"/>
      <c r="L4" s="99">
        <f>J4+K4</f>
        <v>558.29999999999995</v>
      </c>
      <c r="M4" s="99">
        <f t="shared" ref="M4:M34" si="2">IF(AND(ISNUMBER(SEARCH("चावल", O4))),(B4*100/1000)+(C4*150/1000),0)</f>
        <v>0</v>
      </c>
      <c r="N4" s="100">
        <f t="shared" ref="N4:N35" si="3">L4-M4</f>
        <v>558.29999999999995</v>
      </c>
      <c r="O4" s="60" t="s">
        <v>11</v>
      </c>
      <c r="P4" s="102">
        <f>B4*0.02</f>
        <v>1.1200000000000001</v>
      </c>
      <c r="Q4" s="102">
        <f>C4*0.03</f>
        <v>3.12</v>
      </c>
      <c r="R4" s="102">
        <f>P4+Q4</f>
        <v>4.24</v>
      </c>
      <c r="S4" s="102">
        <f t="shared" ref="S4:S34" si="4">B4*0.05</f>
        <v>2.8000000000000003</v>
      </c>
      <c r="T4" s="102">
        <f t="shared" ref="T4:T34" si="5">C4*0.075</f>
        <v>7.8</v>
      </c>
      <c r="U4" s="102">
        <f>S4+T4</f>
        <v>10.6</v>
      </c>
      <c r="V4" s="103">
        <f>MROUND(U4,0.1)</f>
        <v>10.600000000000001</v>
      </c>
      <c r="W4" s="104">
        <f>IF(AND(ISNUMBER(SEARCH("गेहूं", O4))),(B4*100/1000),0)</f>
        <v>5.6</v>
      </c>
      <c r="X4" s="104">
        <f>IF(AND(ISNUMBER(SEARCH("गेहूं", O4))),(C4*150/1000),0)</f>
        <v>15.6</v>
      </c>
      <c r="Y4" s="104">
        <f>IF(AND(ISNUMBER(SEARCH("चावल", O4))),(B4*100/1000),0)</f>
        <v>0</v>
      </c>
      <c r="Z4" s="104">
        <f>IF(AND(ISNUMBER(SEARCH("चावल", O4))),(C4*150/1000),0)</f>
        <v>0</v>
      </c>
      <c r="AA4" s="105"/>
      <c r="AB4" s="105"/>
      <c r="AC4" s="105"/>
      <c r="AD4" s="105"/>
      <c r="AE4" s="105"/>
      <c r="AF4" s="53"/>
      <c r="AG4" s="53"/>
      <c r="AH4" s="53"/>
      <c r="AI4" s="7"/>
    </row>
    <row r="5" spans="1:76" ht="15.75">
      <c r="A5" s="98">
        <f>A4+1</f>
        <v>45902</v>
      </c>
      <c r="B5" s="121">
        <v>58</v>
      </c>
      <c r="C5" s="121">
        <v>100</v>
      </c>
      <c r="D5" s="31">
        <f t="shared" ref="D5:D35" si="6">SUM(B5:C5)</f>
        <v>158</v>
      </c>
      <c r="E5" s="99">
        <f>I4</f>
        <v>1945.8</v>
      </c>
      <c r="F5" s="62"/>
      <c r="G5" s="99">
        <f t="shared" ref="G5:G35" si="7">E5+F5</f>
        <v>1945.8</v>
      </c>
      <c r="H5" s="99">
        <f t="shared" si="0"/>
        <v>20.8</v>
      </c>
      <c r="I5" s="100">
        <f t="shared" si="1"/>
        <v>1925</v>
      </c>
      <c r="J5" s="106">
        <f>N4</f>
        <v>558.29999999999995</v>
      </c>
      <c r="K5" s="62"/>
      <c r="L5" s="99">
        <f t="shared" ref="L5:L34" si="8">J5+K5</f>
        <v>558.29999999999995</v>
      </c>
      <c r="M5" s="99">
        <f t="shared" si="2"/>
        <v>0</v>
      </c>
      <c r="N5" s="100">
        <f t="shared" si="3"/>
        <v>558.29999999999995</v>
      </c>
      <c r="O5" s="60" t="s">
        <v>11</v>
      </c>
      <c r="P5" s="102">
        <f t="shared" ref="P5:P34" si="9">B5*0.02</f>
        <v>1.1599999999999999</v>
      </c>
      <c r="Q5" s="102">
        <f t="shared" ref="Q5:Q34" si="10">C5*0.03</f>
        <v>3</v>
      </c>
      <c r="R5" s="102">
        <f t="shared" ref="R5:R34" si="11">P5+Q5</f>
        <v>4.16</v>
      </c>
      <c r="S5" s="102">
        <f t="shared" si="4"/>
        <v>2.9000000000000004</v>
      </c>
      <c r="T5" s="102">
        <f t="shared" si="5"/>
        <v>7.5</v>
      </c>
      <c r="U5" s="102">
        <f t="shared" ref="U5:U34" si="12">S5+T5</f>
        <v>10.4</v>
      </c>
      <c r="V5" s="103">
        <f t="shared" ref="V5:V35" si="13">MROUND(U5,0.1)</f>
        <v>10.4</v>
      </c>
      <c r="W5" s="104">
        <f t="shared" ref="W5:W34" si="14">IF(AND(ISNUMBER(SEARCH("गेहूं", O5))),(B5*100/1000),0)</f>
        <v>5.8</v>
      </c>
      <c r="X5" s="104">
        <f t="shared" ref="X5:X34" si="15">IF(AND(ISNUMBER(SEARCH("गेहूं", O5))),(C5*150/1000),0)</f>
        <v>15</v>
      </c>
      <c r="Y5" s="104">
        <f t="shared" ref="Y5:Y34" si="16">IF(AND(ISNUMBER(SEARCH("चावल", O5))),(B5*100/1000),0)</f>
        <v>0</v>
      </c>
      <c r="Z5" s="104">
        <f t="shared" ref="Z5:Z34" si="17">IF(AND(ISNUMBER(SEARCH("चावल", O5))),(C5*150/1000),0)</f>
        <v>0</v>
      </c>
      <c r="AA5" s="105"/>
      <c r="AB5" s="105"/>
      <c r="AC5" s="105"/>
      <c r="AD5" s="105"/>
      <c r="AE5" s="105"/>
      <c r="AF5" s="53"/>
      <c r="AG5" s="53"/>
      <c r="AH5" s="53"/>
      <c r="AI5" s="7"/>
    </row>
    <row r="6" spans="1:76" ht="15.75">
      <c r="A6" s="98">
        <f t="shared" ref="A6:A34" si="18">A5+1</f>
        <v>45903</v>
      </c>
      <c r="B6" s="121">
        <v>0</v>
      </c>
      <c r="C6" s="121">
        <v>0</v>
      </c>
      <c r="D6" s="31">
        <f t="shared" si="6"/>
        <v>0</v>
      </c>
      <c r="E6" s="99">
        <f t="shared" ref="E6:E34" si="19">I5</f>
        <v>1925</v>
      </c>
      <c r="F6" s="62"/>
      <c r="G6" s="99">
        <f t="shared" si="7"/>
        <v>1925</v>
      </c>
      <c r="H6" s="99">
        <f t="shared" si="0"/>
        <v>0</v>
      </c>
      <c r="I6" s="100">
        <f t="shared" si="1"/>
        <v>1925</v>
      </c>
      <c r="J6" s="106">
        <f>N5</f>
        <v>558.29999999999995</v>
      </c>
      <c r="K6" s="62"/>
      <c r="L6" s="99">
        <f t="shared" si="8"/>
        <v>558.29999999999995</v>
      </c>
      <c r="M6" s="99">
        <f t="shared" si="2"/>
        <v>0</v>
      </c>
      <c r="N6" s="100">
        <f t="shared" si="3"/>
        <v>558.29999999999995</v>
      </c>
      <c r="O6" s="60" t="s">
        <v>12</v>
      </c>
      <c r="P6" s="102">
        <f t="shared" si="9"/>
        <v>0</v>
      </c>
      <c r="Q6" s="102">
        <f t="shared" si="10"/>
        <v>0</v>
      </c>
      <c r="R6" s="102">
        <f t="shared" si="11"/>
        <v>0</v>
      </c>
      <c r="S6" s="102">
        <f t="shared" si="4"/>
        <v>0</v>
      </c>
      <c r="T6" s="102">
        <f t="shared" si="5"/>
        <v>0</v>
      </c>
      <c r="U6" s="102">
        <f t="shared" si="12"/>
        <v>0</v>
      </c>
      <c r="V6" s="103">
        <f t="shared" si="13"/>
        <v>0</v>
      </c>
      <c r="W6" s="104">
        <f t="shared" si="14"/>
        <v>0</v>
      </c>
      <c r="X6" s="104">
        <f t="shared" si="15"/>
        <v>0</v>
      </c>
      <c r="Y6" s="104">
        <f t="shared" si="16"/>
        <v>0</v>
      </c>
      <c r="Z6" s="104">
        <f t="shared" si="17"/>
        <v>0</v>
      </c>
      <c r="AA6" s="105"/>
      <c r="AB6" s="105"/>
      <c r="AC6" s="105"/>
      <c r="AD6" s="105"/>
      <c r="AE6" s="105"/>
      <c r="AF6" s="53"/>
      <c r="AG6" s="53"/>
      <c r="AH6" s="53"/>
      <c r="AI6" s="7"/>
    </row>
    <row r="7" spans="1:76" ht="15.75">
      <c r="A7" s="98">
        <f t="shared" si="18"/>
        <v>45904</v>
      </c>
      <c r="B7" s="121">
        <v>54</v>
      </c>
      <c r="C7" s="121">
        <v>91</v>
      </c>
      <c r="D7" s="31">
        <f t="shared" si="6"/>
        <v>145</v>
      </c>
      <c r="E7" s="99">
        <f t="shared" si="19"/>
        <v>1925</v>
      </c>
      <c r="F7" s="62"/>
      <c r="G7" s="99">
        <f t="shared" si="7"/>
        <v>1925</v>
      </c>
      <c r="H7" s="99">
        <f t="shared" si="0"/>
        <v>19.05</v>
      </c>
      <c r="I7" s="100">
        <f t="shared" si="1"/>
        <v>1905.95</v>
      </c>
      <c r="J7" s="106">
        <f t="shared" ref="J7:J34" si="20">N6</f>
        <v>558.29999999999995</v>
      </c>
      <c r="K7" s="62"/>
      <c r="L7" s="99">
        <f t="shared" si="8"/>
        <v>558.29999999999995</v>
      </c>
      <c r="M7" s="99">
        <f t="shared" si="2"/>
        <v>0</v>
      </c>
      <c r="N7" s="100">
        <f t="shared" si="3"/>
        <v>558.29999999999995</v>
      </c>
      <c r="O7" s="60" t="s">
        <v>11</v>
      </c>
      <c r="P7" s="102">
        <f t="shared" si="9"/>
        <v>1.08</v>
      </c>
      <c r="Q7" s="102">
        <f t="shared" si="10"/>
        <v>2.73</v>
      </c>
      <c r="R7" s="102">
        <f t="shared" si="11"/>
        <v>3.81</v>
      </c>
      <c r="S7" s="102">
        <f t="shared" si="4"/>
        <v>2.7</v>
      </c>
      <c r="T7" s="102">
        <f t="shared" si="5"/>
        <v>6.8250000000000002</v>
      </c>
      <c r="U7" s="102">
        <f t="shared" si="12"/>
        <v>9.5250000000000004</v>
      </c>
      <c r="V7" s="103">
        <f t="shared" si="13"/>
        <v>9.5</v>
      </c>
      <c r="W7" s="104">
        <f t="shared" si="14"/>
        <v>5.4</v>
      </c>
      <c r="X7" s="104">
        <f t="shared" si="15"/>
        <v>13.65</v>
      </c>
      <c r="Y7" s="104">
        <f t="shared" si="16"/>
        <v>0</v>
      </c>
      <c r="Z7" s="104">
        <f t="shared" si="17"/>
        <v>0</v>
      </c>
      <c r="AA7" s="105"/>
      <c r="AB7" s="105"/>
      <c r="AC7" s="105"/>
      <c r="AD7" s="105"/>
      <c r="AE7" s="105"/>
      <c r="AF7" s="53"/>
      <c r="AG7" s="53"/>
      <c r="AH7" s="53"/>
      <c r="AI7" s="7"/>
    </row>
    <row r="8" spans="1:76" s="6" customFormat="1" ht="15.75">
      <c r="A8" s="98">
        <f t="shared" si="18"/>
        <v>45905</v>
      </c>
      <c r="B8" s="121">
        <v>59</v>
      </c>
      <c r="C8" s="121">
        <v>108</v>
      </c>
      <c r="D8" s="31">
        <f t="shared" si="6"/>
        <v>167</v>
      </c>
      <c r="E8" s="99">
        <f t="shared" si="19"/>
        <v>1905.95</v>
      </c>
      <c r="F8" s="62"/>
      <c r="G8" s="99">
        <f t="shared" si="7"/>
        <v>1905.95</v>
      </c>
      <c r="H8" s="99">
        <f t="shared" si="0"/>
        <v>0</v>
      </c>
      <c r="I8" s="100">
        <f t="shared" si="1"/>
        <v>1905.95</v>
      </c>
      <c r="J8" s="106">
        <f t="shared" si="20"/>
        <v>558.29999999999995</v>
      </c>
      <c r="K8" s="62"/>
      <c r="L8" s="99">
        <f t="shared" si="8"/>
        <v>558.29999999999995</v>
      </c>
      <c r="M8" s="99">
        <f t="shared" si="2"/>
        <v>22.1</v>
      </c>
      <c r="N8" s="100">
        <f t="shared" si="3"/>
        <v>536.19999999999993</v>
      </c>
      <c r="O8" s="60" t="s">
        <v>12</v>
      </c>
      <c r="P8" s="102">
        <f t="shared" si="9"/>
        <v>1.18</v>
      </c>
      <c r="Q8" s="102">
        <f t="shared" si="10"/>
        <v>3.2399999999999998</v>
      </c>
      <c r="R8" s="102">
        <f t="shared" si="11"/>
        <v>4.42</v>
      </c>
      <c r="S8" s="102">
        <f t="shared" si="4"/>
        <v>2.95</v>
      </c>
      <c r="T8" s="102">
        <f t="shared" si="5"/>
        <v>8.1</v>
      </c>
      <c r="U8" s="102">
        <f t="shared" si="12"/>
        <v>11.05</v>
      </c>
      <c r="V8" s="103">
        <f t="shared" si="13"/>
        <v>11.100000000000001</v>
      </c>
      <c r="W8" s="104">
        <f t="shared" si="14"/>
        <v>0</v>
      </c>
      <c r="X8" s="104">
        <f t="shared" si="15"/>
        <v>0</v>
      </c>
      <c r="Y8" s="104">
        <f t="shared" si="16"/>
        <v>5.9</v>
      </c>
      <c r="Z8" s="104">
        <f t="shared" si="17"/>
        <v>16.2</v>
      </c>
      <c r="AA8" s="107"/>
      <c r="AB8" s="107"/>
      <c r="AC8" s="107"/>
      <c r="AD8" s="107"/>
      <c r="AE8" s="107"/>
      <c r="AF8" s="7"/>
      <c r="AG8" s="7"/>
      <c r="AH8" s="7"/>
      <c r="AI8" s="7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</row>
    <row r="9" spans="1:76" ht="15.75">
      <c r="A9" s="98">
        <f>A8+1</f>
        <v>45906</v>
      </c>
      <c r="B9" s="121">
        <v>0</v>
      </c>
      <c r="C9" s="121">
        <v>0</v>
      </c>
      <c r="D9" s="31">
        <f t="shared" si="6"/>
        <v>0</v>
      </c>
      <c r="E9" s="99">
        <f t="shared" si="19"/>
        <v>1905.95</v>
      </c>
      <c r="F9" s="62"/>
      <c r="G9" s="99">
        <f t="shared" si="7"/>
        <v>1905.95</v>
      </c>
      <c r="H9" s="99">
        <f t="shared" si="0"/>
        <v>0</v>
      </c>
      <c r="I9" s="100">
        <f t="shared" si="1"/>
        <v>1905.95</v>
      </c>
      <c r="J9" s="106">
        <f t="shared" si="20"/>
        <v>536.19999999999993</v>
      </c>
      <c r="K9" s="62"/>
      <c r="L9" s="99">
        <f t="shared" si="8"/>
        <v>536.19999999999993</v>
      </c>
      <c r="M9" s="99">
        <f t="shared" si="2"/>
        <v>0</v>
      </c>
      <c r="N9" s="100">
        <f t="shared" si="3"/>
        <v>536.19999999999993</v>
      </c>
      <c r="O9" s="60" t="s">
        <v>11</v>
      </c>
      <c r="P9" s="102">
        <f t="shared" si="9"/>
        <v>0</v>
      </c>
      <c r="Q9" s="102">
        <f t="shared" si="10"/>
        <v>0</v>
      </c>
      <c r="R9" s="102">
        <f t="shared" si="11"/>
        <v>0</v>
      </c>
      <c r="S9" s="102">
        <f t="shared" si="4"/>
        <v>0</v>
      </c>
      <c r="T9" s="102">
        <f t="shared" si="5"/>
        <v>0</v>
      </c>
      <c r="U9" s="102">
        <f t="shared" si="12"/>
        <v>0</v>
      </c>
      <c r="V9" s="103">
        <f t="shared" si="13"/>
        <v>0</v>
      </c>
      <c r="W9" s="104">
        <f t="shared" si="14"/>
        <v>0</v>
      </c>
      <c r="X9" s="104">
        <f t="shared" si="15"/>
        <v>0</v>
      </c>
      <c r="Y9" s="104">
        <f t="shared" si="16"/>
        <v>0</v>
      </c>
      <c r="Z9" s="104">
        <f t="shared" si="17"/>
        <v>0</v>
      </c>
      <c r="AA9" s="107"/>
      <c r="AB9" s="107"/>
      <c r="AC9" s="107"/>
      <c r="AD9" s="107"/>
      <c r="AE9" s="107"/>
      <c r="AF9" s="7"/>
      <c r="AG9" s="7"/>
      <c r="AH9" s="7"/>
      <c r="AI9" s="7"/>
    </row>
    <row r="10" spans="1:76" ht="15.75">
      <c r="A10" s="98">
        <f t="shared" si="18"/>
        <v>45907</v>
      </c>
      <c r="B10" s="121">
        <v>36</v>
      </c>
      <c r="C10" s="121">
        <v>98</v>
      </c>
      <c r="D10" s="31">
        <f t="shared" si="6"/>
        <v>134</v>
      </c>
      <c r="E10" s="99">
        <f t="shared" si="19"/>
        <v>1905.95</v>
      </c>
      <c r="F10" s="62"/>
      <c r="G10" s="99">
        <f t="shared" si="7"/>
        <v>1905.95</v>
      </c>
      <c r="H10" s="99">
        <f t="shared" si="0"/>
        <v>0</v>
      </c>
      <c r="I10" s="100">
        <f t="shared" si="1"/>
        <v>1905.95</v>
      </c>
      <c r="J10" s="106">
        <f t="shared" si="20"/>
        <v>536.19999999999993</v>
      </c>
      <c r="K10" s="62"/>
      <c r="L10" s="99">
        <f t="shared" si="8"/>
        <v>536.19999999999993</v>
      </c>
      <c r="M10" s="99">
        <f t="shared" si="2"/>
        <v>18.3</v>
      </c>
      <c r="N10" s="100">
        <f t="shared" si="3"/>
        <v>517.9</v>
      </c>
      <c r="O10" s="60" t="s">
        <v>12</v>
      </c>
      <c r="P10" s="102">
        <f t="shared" si="9"/>
        <v>0.72</v>
      </c>
      <c r="Q10" s="102">
        <f t="shared" si="10"/>
        <v>2.94</v>
      </c>
      <c r="R10" s="102">
        <f t="shared" si="11"/>
        <v>3.66</v>
      </c>
      <c r="S10" s="102">
        <f t="shared" si="4"/>
        <v>1.8</v>
      </c>
      <c r="T10" s="102">
        <f t="shared" si="5"/>
        <v>7.35</v>
      </c>
      <c r="U10" s="102">
        <f t="shared" si="12"/>
        <v>9.15</v>
      </c>
      <c r="V10" s="103">
        <f t="shared" si="13"/>
        <v>9.2000000000000011</v>
      </c>
      <c r="W10" s="104">
        <f t="shared" si="14"/>
        <v>0</v>
      </c>
      <c r="X10" s="104">
        <f t="shared" si="15"/>
        <v>0</v>
      </c>
      <c r="Y10" s="104">
        <f t="shared" si="16"/>
        <v>3.6</v>
      </c>
      <c r="Z10" s="104">
        <f t="shared" si="17"/>
        <v>14.7</v>
      </c>
      <c r="AA10" s="107"/>
      <c r="AB10" s="107"/>
      <c r="AC10" s="107"/>
      <c r="AD10" s="107"/>
      <c r="AE10" s="107"/>
      <c r="AF10" s="7"/>
      <c r="AG10" s="7"/>
      <c r="AH10" s="7"/>
      <c r="AI10" s="7"/>
    </row>
    <row r="11" spans="1:76" ht="15.75">
      <c r="A11" s="98">
        <f t="shared" si="18"/>
        <v>45908</v>
      </c>
      <c r="B11" s="121">
        <v>54</v>
      </c>
      <c r="C11" s="121">
        <v>101</v>
      </c>
      <c r="D11" s="31">
        <f t="shared" si="6"/>
        <v>155</v>
      </c>
      <c r="E11" s="99">
        <f t="shared" si="19"/>
        <v>1905.95</v>
      </c>
      <c r="F11" s="62"/>
      <c r="G11" s="99">
        <f t="shared" si="7"/>
        <v>1905.95</v>
      </c>
      <c r="H11" s="99">
        <f t="shared" si="0"/>
        <v>20.55</v>
      </c>
      <c r="I11" s="100">
        <f t="shared" si="1"/>
        <v>1885.4</v>
      </c>
      <c r="J11" s="106">
        <f t="shared" si="20"/>
        <v>517.9</v>
      </c>
      <c r="K11" s="62"/>
      <c r="L11" s="99">
        <f t="shared" si="8"/>
        <v>517.9</v>
      </c>
      <c r="M11" s="99">
        <f t="shared" si="2"/>
        <v>0</v>
      </c>
      <c r="N11" s="100">
        <f t="shared" si="3"/>
        <v>517.9</v>
      </c>
      <c r="O11" s="60" t="s">
        <v>11</v>
      </c>
      <c r="P11" s="102">
        <f t="shared" si="9"/>
        <v>1.08</v>
      </c>
      <c r="Q11" s="102">
        <f t="shared" si="10"/>
        <v>3.03</v>
      </c>
      <c r="R11" s="102">
        <f t="shared" si="11"/>
        <v>4.1099999999999994</v>
      </c>
      <c r="S11" s="102">
        <f t="shared" si="4"/>
        <v>2.7</v>
      </c>
      <c r="T11" s="102">
        <f t="shared" si="5"/>
        <v>7.5749999999999993</v>
      </c>
      <c r="U11" s="102">
        <f t="shared" si="12"/>
        <v>10.274999999999999</v>
      </c>
      <c r="V11" s="103">
        <f t="shared" si="13"/>
        <v>10.3</v>
      </c>
      <c r="W11" s="104">
        <f t="shared" si="14"/>
        <v>5.4</v>
      </c>
      <c r="X11" s="104">
        <f t="shared" si="15"/>
        <v>15.15</v>
      </c>
      <c r="Y11" s="104">
        <f t="shared" si="16"/>
        <v>0</v>
      </c>
      <c r="Z11" s="104">
        <f t="shared" si="17"/>
        <v>0</v>
      </c>
      <c r="AA11" s="107"/>
      <c r="AB11" s="107"/>
      <c r="AC11" s="107"/>
      <c r="AD11" s="107"/>
      <c r="AE11" s="107"/>
      <c r="AF11" s="7"/>
      <c r="AG11" s="7"/>
      <c r="AH11" s="7"/>
      <c r="AI11" s="7"/>
    </row>
    <row r="12" spans="1:76" ht="15.75">
      <c r="A12" s="98">
        <f t="shared" si="18"/>
        <v>45909</v>
      </c>
      <c r="B12" s="121">
        <v>0</v>
      </c>
      <c r="C12" s="121">
        <v>0</v>
      </c>
      <c r="D12" s="31">
        <f t="shared" si="6"/>
        <v>0</v>
      </c>
      <c r="E12" s="99">
        <f t="shared" si="19"/>
        <v>1885.4</v>
      </c>
      <c r="F12" s="62"/>
      <c r="G12" s="99">
        <f t="shared" si="7"/>
        <v>1885.4</v>
      </c>
      <c r="H12" s="99">
        <f t="shared" si="0"/>
        <v>0</v>
      </c>
      <c r="I12" s="100">
        <f t="shared" si="1"/>
        <v>1885.4</v>
      </c>
      <c r="J12" s="106">
        <f t="shared" si="20"/>
        <v>517.9</v>
      </c>
      <c r="K12" s="62"/>
      <c r="L12" s="99">
        <f t="shared" si="8"/>
        <v>517.9</v>
      </c>
      <c r="M12" s="99">
        <f t="shared" si="2"/>
        <v>0</v>
      </c>
      <c r="N12" s="100">
        <f t="shared" si="3"/>
        <v>517.9</v>
      </c>
      <c r="O12" s="60" t="s">
        <v>11</v>
      </c>
      <c r="P12" s="102">
        <f t="shared" si="9"/>
        <v>0</v>
      </c>
      <c r="Q12" s="102">
        <f t="shared" si="10"/>
        <v>0</v>
      </c>
      <c r="R12" s="102">
        <f t="shared" si="11"/>
        <v>0</v>
      </c>
      <c r="S12" s="102">
        <f t="shared" si="4"/>
        <v>0</v>
      </c>
      <c r="T12" s="102">
        <f t="shared" si="5"/>
        <v>0</v>
      </c>
      <c r="U12" s="102">
        <f t="shared" si="12"/>
        <v>0</v>
      </c>
      <c r="V12" s="103">
        <f t="shared" si="13"/>
        <v>0</v>
      </c>
      <c r="W12" s="104">
        <f t="shared" si="14"/>
        <v>0</v>
      </c>
      <c r="X12" s="104">
        <f t="shared" si="15"/>
        <v>0</v>
      </c>
      <c r="Y12" s="104">
        <f t="shared" si="16"/>
        <v>0</v>
      </c>
      <c r="Z12" s="104">
        <f t="shared" si="17"/>
        <v>0</v>
      </c>
      <c r="AA12" s="107"/>
      <c r="AB12" s="107"/>
      <c r="AC12" s="107"/>
      <c r="AD12" s="107"/>
      <c r="AE12" s="107"/>
      <c r="AF12" s="7"/>
      <c r="AG12" s="7"/>
      <c r="AH12" s="7"/>
      <c r="AI12" s="7"/>
    </row>
    <row r="13" spans="1:76" s="6" customFormat="1" ht="15.75">
      <c r="A13" s="98">
        <f t="shared" si="18"/>
        <v>45910</v>
      </c>
      <c r="B13" s="121">
        <v>0</v>
      </c>
      <c r="C13" s="121">
        <v>0</v>
      </c>
      <c r="D13" s="31">
        <f t="shared" si="6"/>
        <v>0</v>
      </c>
      <c r="E13" s="99">
        <f t="shared" si="19"/>
        <v>1885.4</v>
      </c>
      <c r="F13" s="62"/>
      <c r="G13" s="99">
        <f t="shared" si="7"/>
        <v>1885.4</v>
      </c>
      <c r="H13" s="99">
        <f t="shared" si="0"/>
        <v>0</v>
      </c>
      <c r="I13" s="100">
        <f t="shared" si="1"/>
        <v>1885.4</v>
      </c>
      <c r="J13" s="106">
        <f t="shared" si="20"/>
        <v>517.9</v>
      </c>
      <c r="K13" s="62"/>
      <c r="L13" s="99">
        <f t="shared" si="8"/>
        <v>517.9</v>
      </c>
      <c r="M13" s="99">
        <f t="shared" si="2"/>
        <v>0</v>
      </c>
      <c r="N13" s="100">
        <f t="shared" si="3"/>
        <v>517.9</v>
      </c>
      <c r="O13" s="60" t="s">
        <v>12</v>
      </c>
      <c r="P13" s="102">
        <f t="shared" si="9"/>
        <v>0</v>
      </c>
      <c r="Q13" s="102">
        <f t="shared" si="10"/>
        <v>0</v>
      </c>
      <c r="R13" s="102">
        <f t="shared" si="11"/>
        <v>0</v>
      </c>
      <c r="S13" s="102">
        <f t="shared" si="4"/>
        <v>0</v>
      </c>
      <c r="T13" s="102">
        <f t="shared" si="5"/>
        <v>0</v>
      </c>
      <c r="U13" s="102">
        <f t="shared" si="12"/>
        <v>0</v>
      </c>
      <c r="V13" s="103">
        <f t="shared" si="13"/>
        <v>0</v>
      </c>
      <c r="W13" s="104">
        <f t="shared" si="14"/>
        <v>0</v>
      </c>
      <c r="X13" s="104">
        <f t="shared" si="15"/>
        <v>0</v>
      </c>
      <c r="Y13" s="104">
        <f t="shared" si="16"/>
        <v>0</v>
      </c>
      <c r="Z13" s="104">
        <f t="shared" si="17"/>
        <v>0</v>
      </c>
      <c r="AA13" s="107"/>
      <c r="AB13" s="107"/>
      <c r="AC13" s="107"/>
      <c r="AD13" s="107"/>
      <c r="AE13" s="107"/>
      <c r="AF13" s="7"/>
      <c r="AG13" s="7"/>
      <c r="AH13" s="7"/>
      <c r="AI13" s="7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</row>
    <row r="14" spans="1:76" ht="15.75">
      <c r="A14" s="98">
        <f t="shared" si="18"/>
        <v>45911</v>
      </c>
      <c r="B14" s="121">
        <v>39</v>
      </c>
      <c r="C14" s="121">
        <v>69</v>
      </c>
      <c r="D14" s="31">
        <f t="shared" si="6"/>
        <v>108</v>
      </c>
      <c r="E14" s="99">
        <f t="shared" si="19"/>
        <v>1885.4</v>
      </c>
      <c r="F14" s="62"/>
      <c r="G14" s="99">
        <f t="shared" si="7"/>
        <v>1885.4</v>
      </c>
      <c r="H14" s="99">
        <f t="shared" si="0"/>
        <v>14.25</v>
      </c>
      <c r="I14" s="100">
        <f t="shared" si="1"/>
        <v>1871.15</v>
      </c>
      <c r="J14" s="106">
        <f t="shared" si="20"/>
        <v>517.9</v>
      </c>
      <c r="K14" s="62"/>
      <c r="L14" s="99">
        <f t="shared" si="8"/>
        <v>517.9</v>
      </c>
      <c r="M14" s="99">
        <f t="shared" si="2"/>
        <v>0</v>
      </c>
      <c r="N14" s="100">
        <f t="shared" si="3"/>
        <v>517.9</v>
      </c>
      <c r="O14" s="60" t="s">
        <v>11</v>
      </c>
      <c r="P14" s="102">
        <f t="shared" si="9"/>
        <v>0.78</v>
      </c>
      <c r="Q14" s="102">
        <f t="shared" si="10"/>
        <v>2.0699999999999998</v>
      </c>
      <c r="R14" s="102">
        <f t="shared" si="11"/>
        <v>2.8499999999999996</v>
      </c>
      <c r="S14" s="102">
        <f t="shared" si="4"/>
        <v>1.9500000000000002</v>
      </c>
      <c r="T14" s="102">
        <f t="shared" si="5"/>
        <v>5.1749999999999998</v>
      </c>
      <c r="U14" s="102">
        <f t="shared" si="12"/>
        <v>7.125</v>
      </c>
      <c r="V14" s="103">
        <f t="shared" si="13"/>
        <v>7.1000000000000005</v>
      </c>
      <c r="W14" s="104">
        <f t="shared" si="14"/>
        <v>3.9</v>
      </c>
      <c r="X14" s="104">
        <f t="shared" si="15"/>
        <v>10.35</v>
      </c>
      <c r="Y14" s="104">
        <f t="shared" si="16"/>
        <v>0</v>
      </c>
      <c r="Z14" s="104">
        <f t="shared" si="17"/>
        <v>0</v>
      </c>
      <c r="AA14" s="107"/>
      <c r="AB14" s="107"/>
      <c r="AC14" s="107"/>
      <c r="AD14" s="107"/>
      <c r="AE14" s="107"/>
      <c r="AF14" s="7"/>
      <c r="AG14" s="7"/>
      <c r="AH14" s="7"/>
      <c r="AI14" s="7"/>
    </row>
    <row r="15" spans="1:76" s="6" customFormat="1" ht="15.75">
      <c r="A15" s="98">
        <f t="shared" si="18"/>
        <v>45912</v>
      </c>
      <c r="B15" s="121">
        <v>52</v>
      </c>
      <c r="C15" s="121">
        <v>103</v>
      </c>
      <c r="D15" s="31">
        <f t="shared" si="6"/>
        <v>155</v>
      </c>
      <c r="E15" s="99">
        <f t="shared" si="19"/>
        <v>1871.15</v>
      </c>
      <c r="F15" s="62"/>
      <c r="G15" s="99">
        <f t="shared" si="7"/>
        <v>1871.15</v>
      </c>
      <c r="H15" s="99">
        <f t="shared" si="0"/>
        <v>0</v>
      </c>
      <c r="I15" s="100">
        <f t="shared" si="1"/>
        <v>1871.15</v>
      </c>
      <c r="J15" s="106">
        <f t="shared" si="20"/>
        <v>517.9</v>
      </c>
      <c r="K15" s="62"/>
      <c r="L15" s="99">
        <f t="shared" si="8"/>
        <v>517.9</v>
      </c>
      <c r="M15" s="99">
        <f t="shared" si="2"/>
        <v>20.65</v>
      </c>
      <c r="N15" s="100">
        <f t="shared" si="3"/>
        <v>497.25</v>
      </c>
      <c r="O15" s="60" t="s">
        <v>12</v>
      </c>
      <c r="P15" s="102">
        <f t="shared" si="9"/>
        <v>1.04</v>
      </c>
      <c r="Q15" s="102">
        <f t="shared" si="10"/>
        <v>3.09</v>
      </c>
      <c r="R15" s="102">
        <f t="shared" si="11"/>
        <v>4.13</v>
      </c>
      <c r="S15" s="102">
        <f t="shared" si="4"/>
        <v>2.6</v>
      </c>
      <c r="T15" s="102">
        <f t="shared" si="5"/>
        <v>7.7249999999999996</v>
      </c>
      <c r="U15" s="102">
        <f t="shared" si="12"/>
        <v>10.324999999999999</v>
      </c>
      <c r="V15" s="103">
        <f t="shared" si="13"/>
        <v>10.3</v>
      </c>
      <c r="W15" s="104">
        <f t="shared" si="14"/>
        <v>0</v>
      </c>
      <c r="X15" s="104">
        <f t="shared" si="15"/>
        <v>0</v>
      </c>
      <c r="Y15" s="104">
        <f t="shared" si="16"/>
        <v>5.2</v>
      </c>
      <c r="Z15" s="104">
        <f t="shared" si="17"/>
        <v>15.45</v>
      </c>
      <c r="AA15" s="107"/>
      <c r="AB15" s="107"/>
      <c r="AC15" s="107"/>
      <c r="AD15" s="107"/>
      <c r="AE15" s="107"/>
      <c r="AF15" s="7"/>
      <c r="AG15" s="7"/>
      <c r="AH15" s="7"/>
      <c r="AI15" s="7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</row>
    <row r="16" spans="1:76" ht="15.75">
      <c r="A16" s="98">
        <f t="shared" si="18"/>
        <v>45913</v>
      </c>
      <c r="B16" s="121">
        <v>61</v>
      </c>
      <c r="C16" s="121">
        <v>116</v>
      </c>
      <c r="D16" s="31">
        <f t="shared" si="6"/>
        <v>177</v>
      </c>
      <c r="E16" s="99">
        <f t="shared" si="19"/>
        <v>1871.15</v>
      </c>
      <c r="F16" s="62"/>
      <c r="G16" s="99">
        <f t="shared" si="7"/>
        <v>1871.15</v>
      </c>
      <c r="H16" s="99">
        <f t="shared" si="0"/>
        <v>23.5</v>
      </c>
      <c r="I16" s="100">
        <f t="shared" si="1"/>
        <v>1847.65</v>
      </c>
      <c r="J16" s="106">
        <f t="shared" si="20"/>
        <v>497.25</v>
      </c>
      <c r="K16" s="62"/>
      <c r="L16" s="99">
        <f t="shared" si="8"/>
        <v>497.25</v>
      </c>
      <c r="M16" s="99">
        <f t="shared" si="2"/>
        <v>0</v>
      </c>
      <c r="N16" s="100">
        <f t="shared" si="3"/>
        <v>497.25</v>
      </c>
      <c r="O16" s="60" t="s">
        <v>11</v>
      </c>
      <c r="P16" s="102">
        <f t="shared" si="9"/>
        <v>1.22</v>
      </c>
      <c r="Q16" s="102">
        <f t="shared" si="10"/>
        <v>3.48</v>
      </c>
      <c r="R16" s="102">
        <f t="shared" si="11"/>
        <v>4.7</v>
      </c>
      <c r="S16" s="102">
        <f t="shared" si="4"/>
        <v>3.0500000000000003</v>
      </c>
      <c r="T16" s="102">
        <f t="shared" si="5"/>
        <v>8.6999999999999993</v>
      </c>
      <c r="U16" s="102">
        <f t="shared" si="12"/>
        <v>11.75</v>
      </c>
      <c r="V16" s="103">
        <f t="shared" si="13"/>
        <v>11.8</v>
      </c>
      <c r="W16" s="104">
        <f t="shared" si="14"/>
        <v>6.1</v>
      </c>
      <c r="X16" s="104">
        <f t="shared" si="15"/>
        <v>17.399999999999999</v>
      </c>
      <c r="Y16" s="104">
        <f t="shared" si="16"/>
        <v>0</v>
      </c>
      <c r="Z16" s="104">
        <f t="shared" si="17"/>
        <v>0</v>
      </c>
      <c r="AA16" s="107"/>
      <c r="AB16" s="107"/>
      <c r="AC16" s="107"/>
      <c r="AD16" s="107"/>
      <c r="AE16" s="107"/>
      <c r="AF16" s="7"/>
      <c r="AG16" s="7"/>
      <c r="AH16" s="7"/>
      <c r="AI16" s="7"/>
    </row>
    <row r="17" spans="1:76" ht="15.75">
      <c r="A17" s="98">
        <f t="shared" si="18"/>
        <v>45914</v>
      </c>
      <c r="B17" s="121">
        <v>55</v>
      </c>
      <c r="C17" s="121">
        <v>114</v>
      </c>
      <c r="D17" s="31">
        <f t="shared" si="6"/>
        <v>169</v>
      </c>
      <c r="E17" s="99">
        <f t="shared" si="19"/>
        <v>1847.65</v>
      </c>
      <c r="F17" s="62"/>
      <c r="G17" s="99">
        <f t="shared" si="7"/>
        <v>1847.65</v>
      </c>
      <c r="H17" s="99">
        <f t="shared" si="0"/>
        <v>0</v>
      </c>
      <c r="I17" s="100">
        <f t="shared" si="1"/>
        <v>1847.65</v>
      </c>
      <c r="J17" s="106">
        <f t="shared" si="20"/>
        <v>497.25</v>
      </c>
      <c r="K17" s="62"/>
      <c r="L17" s="99">
        <f t="shared" si="8"/>
        <v>497.25</v>
      </c>
      <c r="M17" s="99">
        <f t="shared" si="2"/>
        <v>22.6</v>
      </c>
      <c r="N17" s="100">
        <f t="shared" si="3"/>
        <v>474.65</v>
      </c>
      <c r="O17" s="60" t="s">
        <v>12</v>
      </c>
      <c r="P17" s="102">
        <f t="shared" si="9"/>
        <v>1.1000000000000001</v>
      </c>
      <c r="Q17" s="102">
        <f t="shared" si="10"/>
        <v>3.42</v>
      </c>
      <c r="R17" s="102">
        <f t="shared" si="11"/>
        <v>4.5199999999999996</v>
      </c>
      <c r="S17" s="102">
        <f t="shared" si="4"/>
        <v>2.75</v>
      </c>
      <c r="T17" s="102">
        <f t="shared" si="5"/>
        <v>8.5499999999999989</v>
      </c>
      <c r="U17" s="102">
        <f t="shared" si="12"/>
        <v>11.299999999999999</v>
      </c>
      <c r="V17" s="103">
        <f t="shared" si="13"/>
        <v>11.3</v>
      </c>
      <c r="W17" s="104">
        <f t="shared" si="14"/>
        <v>0</v>
      </c>
      <c r="X17" s="104">
        <f t="shared" si="15"/>
        <v>0</v>
      </c>
      <c r="Y17" s="104">
        <f t="shared" si="16"/>
        <v>5.5</v>
      </c>
      <c r="Z17" s="104">
        <f t="shared" si="17"/>
        <v>17.100000000000001</v>
      </c>
      <c r="AA17" s="107"/>
      <c r="AB17" s="107"/>
      <c r="AC17" s="107"/>
      <c r="AD17" s="107"/>
      <c r="AE17" s="107"/>
      <c r="AF17" s="7"/>
      <c r="AG17" s="7"/>
      <c r="AH17" s="7"/>
      <c r="AI17" s="7"/>
    </row>
    <row r="18" spans="1:76" ht="15.75">
      <c r="A18" s="98">
        <f t="shared" si="18"/>
        <v>45915</v>
      </c>
      <c r="B18" s="121">
        <v>0</v>
      </c>
      <c r="C18" s="121">
        <v>0</v>
      </c>
      <c r="D18" s="31">
        <f t="shared" si="6"/>
        <v>0</v>
      </c>
      <c r="E18" s="99">
        <f t="shared" si="19"/>
        <v>1847.65</v>
      </c>
      <c r="F18" s="62"/>
      <c r="G18" s="99">
        <f t="shared" si="7"/>
        <v>1847.65</v>
      </c>
      <c r="H18" s="99">
        <f t="shared" si="0"/>
        <v>0</v>
      </c>
      <c r="I18" s="100">
        <f t="shared" si="1"/>
        <v>1847.65</v>
      </c>
      <c r="J18" s="106">
        <f t="shared" si="20"/>
        <v>474.65</v>
      </c>
      <c r="K18" s="62"/>
      <c r="L18" s="99">
        <f t="shared" si="8"/>
        <v>474.65</v>
      </c>
      <c r="M18" s="99">
        <f t="shared" si="2"/>
        <v>0</v>
      </c>
      <c r="N18" s="100">
        <f t="shared" si="3"/>
        <v>474.65</v>
      </c>
      <c r="O18" s="60" t="s">
        <v>11</v>
      </c>
      <c r="P18" s="102">
        <f t="shared" si="9"/>
        <v>0</v>
      </c>
      <c r="Q18" s="102">
        <f t="shared" si="10"/>
        <v>0</v>
      </c>
      <c r="R18" s="102">
        <f t="shared" si="11"/>
        <v>0</v>
      </c>
      <c r="S18" s="102">
        <f t="shared" si="4"/>
        <v>0</v>
      </c>
      <c r="T18" s="102">
        <f t="shared" si="5"/>
        <v>0</v>
      </c>
      <c r="U18" s="102">
        <f t="shared" si="12"/>
        <v>0</v>
      </c>
      <c r="V18" s="103">
        <f t="shared" si="13"/>
        <v>0</v>
      </c>
      <c r="W18" s="104">
        <f t="shared" si="14"/>
        <v>0</v>
      </c>
      <c r="X18" s="104">
        <f t="shared" si="15"/>
        <v>0</v>
      </c>
      <c r="Y18" s="104">
        <f t="shared" si="16"/>
        <v>0</v>
      </c>
      <c r="Z18" s="104">
        <f t="shared" si="17"/>
        <v>0</v>
      </c>
      <c r="AA18" s="107"/>
      <c r="AB18" s="107"/>
      <c r="AC18" s="107"/>
      <c r="AD18" s="107"/>
      <c r="AE18" s="107"/>
      <c r="AF18" s="7"/>
      <c r="AG18" s="7"/>
      <c r="AH18" s="7"/>
      <c r="AI18" s="7"/>
    </row>
    <row r="19" spans="1:76" ht="15.75">
      <c r="A19" s="98">
        <f t="shared" si="18"/>
        <v>45916</v>
      </c>
      <c r="B19" s="121">
        <v>0</v>
      </c>
      <c r="C19" s="121">
        <v>0</v>
      </c>
      <c r="D19" s="31">
        <f t="shared" si="6"/>
        <v>0</v>
      </c>
      <c r="E19" s="99">
        <f t="shared" si="19"/>
        <v>1847.65</v>
      </c>
      <c r="F19" s="62"/>
      <c r="G19" s="99">
        <f t="shared" si="7"/>
        <v>1847.65</v>
      </c>
      <c r="H19" s="99">
        <f t="shared" si="0"/>
        <v>0</v>
      </c>
      <c r="I19" s="100">
        <f t="shared" si="1"/>
        <v>1847.65</v>
      </c>
      <c r="J19" s="106">
        <f t="shared" si="20"/>
        <v>474.65</v>
      </c>
      <c r="K19" s="62"/>
      <c r="L19" s="99">
        <f t="shared" si="8"/>
        <v>474.65</v>
      </c>
      <c r="M19" s="99">
        <f t="shared" si="2"/>
        <v>0</v>
      </c>
      <c r="N19" s="100">
        <f t="shared" si="3"/>
        <v>474.65</v>
      </c>
      <c r="O19" s="60" t="s">
        <v>11</v>
      </c>
      <c r="P19" s="102">
        <f t="shared" si="9"/>
        <v>0</v>
      </c>
      <c r="Q19" s="102">
        <f t="shared" si="10"/>
        <v>0</v>
      </c>
      <c r="R19" s="102">
        <f t="shared" si="11"/>
        <v>0</v>
      </c>
      <c r="S19" s="102">
        <f t="shared" si="4"/>
        <v>0</v>
      </c>
      <c r="T19" s="102">
        <f t="shared" si="5"/>
        <v>0</v>
      </c>
      <c r="U19" s="102">
        <f t="shared" si="12"/>
        <v>0</v>
      </c>
      <c r="V19" s="103">
        <f t="shared" si="13"/>
        <v>0</v>
      </c>
      <c r="W19" s="104">
        <f t="shared" si="14"/>
        <v>0</v>
      </c>
      <c r="X19" s="104">
        <f t="shared" si="15"/>
        <v>0</v>
      </c>
      <c r="Y19" s="104">
        <f t="shared" si="16"/>
        <v>0</v>
      </c>
      <c r="Z19" s="104">
        <f t="shared" si="17"/>
        <v>0</v>
      </c>
      <c r="AA19" s="107"/>
      <c r="AB19" s="107"/>
      <c r="AC19" s="107"/>
      <c r="AD19" s="107"/>
      <c r="AE19" s="107"/>
      <c r="AF19" s="7"/>
      <c r="AG19" s="7"/>
      <c r="AH19" s="7"/>
      <c r="AI19" s="7"/>
    </row>
    <row r="20" spans="1:76" s="6" customFormat="1" ht="15.75">
      <c r="A20" s="98">
        <f t="shared" si="18"/>
        <v>45917</v>
      </c>
      <c r="B20" s="121">
        <v>0</v>
      </c>
      <c r="C20" s="121">
        <v>0</v>
      </c>
      <c r="D20" s="31">
        <f t="shared" si="6"/>
        <v>0</v>
      </c>
      <c r="E20" s="99">
        <f t="shared" si="19"/>
        <v>1847.65</v>
      </c>
      <c r="F20" s="62"/>
      <c r="G20" s="99">
        <f t="shared" si="7"/>
        <v>1847.65</v>
      </c>
      <c r="H20" s="99">
        <f t="shared" si="0"/>
        <v>0</v>
      </c>
      <c r="I20" s="100">
        <f t="shared" si="1"/>
        <v>1847.65</v>
      </c>
      <c r="J20" s="106">
        <f t="shared" si="20"/>
        <v>474.65</v>
      </c>
      <c r="K20" s="62"/>
      <c r="L20" s="99">
        <f t="shared" si="8"/>
        <v>474.65</v>
      </c>
      <c r="M20" s="99">
        <f t="shared" si="2"/>
        <v>0</v>
      </c>
      <c r="N20" s="100">
        <f t="shared" si="3"/>
        <v>474.65</v>
      </c>
      <c r="O20" s="60" t="s">
        <v>12</v>
      </c>
      <c r="P20" s="102">
        <f t="shared" si="9"/>
        <v>0</v>
      </c>
      <c r="Q20" s="102">
        <f t="shared" si="10"/>
        <v>0</v>
      </c>
      <c r="R20" s="102">
        <f t="shared" si="11"/>
        <v>0</v>
      </c>
      <c r="S20" s="102">
        <f t="shared" si="4"/>
        <v>0</v>
      </c>
      <c r="T20" s="102">
        <f t="shared" si="5"/>
        <v>0</v>
      </c>
      <c r="U20" s="102">
        <f t="shared" si="12"/>
        <v>0</v>
      </c>
      <c r="V20" s="103">
        <f t="shared" si="13"/>
        <v>0</v>
      </c>
      <c r="W20" s="104">
        <f t="shared" si="14"/>
        <v>0</v>
      </c>
      <c r="X20" s="104">
        <f t="shared" si="15"/>
        <v>0</v>
      </c>
      <c r="Y20" s="104">
        <f t="shared" si="16"/>
        <v>0</v>
      </c>
      <c r="Z20" s="104">
        <f t="shared" si="17"/>
        <v>0</v>
      </c>
      <c r="AA20" s="107"/>
      <c r="AB20" s="107"/>
      <c r="AC20" s="107"/>
      <c r="AD20" s="107"/>
      <c r="AE20" s="107"/>
      <c r="AF20" s="7"/>
      <c r="AG20" s="7"/>
      <c r="AH20" s="7"/>
      <c r="AI20" s="7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</row>
    <row r="21" spans="1:76" s="6" customFormat="1" ht="15.75">
      <c r="A21" s="98">
        <f t="shared" si="18"/>
        <v>45918</v>
      </c>
      <c r="B21" s="121">
        <v>58</v>
      </c>
      <c r="C21" s="121">
        <v>109</v>
      </c>
      <c r="D21" s="31">
        <f t="shared" si="6"/>
        <v>167</v>
      </c>
      <c r="E21" s="99">
        <f t="shared" si="19"/>
        <v>1847.65</v>
      </c>
      <c r="F21" s="62"/>
      <c r="G21" s="99">
        <f t="shared" si="7"/>
        <v>1847.65</v>
      </c>
      <c r="H21" s="99">
        <f t="shared" si="0"/>
        <v>22.150000000000002</v>
      </c>
      <c r="I21" s="100">
        <f t="shared" si="1"/>
        <v>1825.5</v>
      </c>
      <c r="J21" s="106">
        <f t="shared" si="20"/>
        <v>474.65</v>
      </c>
      <c r="K21" s="62"/>
      <c r="L21" s="99">
        <f t="shared" si="8"/>
        <v>474.65</v>
      </c>
      <c r="M21" s="99">
        <f t="shared" si="2"/>
        <v>0</v>
      </c>
      <c r="N21" s="100">
        <f t="shared" si="3"/>
        <v>474.65</v>
      </c>
      <c r="O21" s="60" t="s">
        <v>11</v>
      </c>
      <c r="P21" s="102">
        <f t="shared" si="9"/>
        <v>1.1599999999999999</v>
      </c>
      <c r="Q21" s="102">
        <f t="shared" si="10"/>
        <v>3.27</v>
      </c>
      <c r="R21" s="102">
        <f t="shared" si="11"/>
        <v>4.43</v>
      </c>
      <c r="S21" s="102">
        <f t="shared" si="4"/>
        <v>2.9000000000000004</v>
      </c>
      <c r="T21" s="102">
        <f t="shared" si="5"/>
        <v>8.1749999999999989</v>
      </c>
      <c r="U21" s="102">
        <f t="shared" si="12"/>
        <v>11.074999999999999</v>
      </c>
      <c r="V21" s="103">
        <f t="shared" si="13"/>
        <v>11.100000000000001</v>
      </c>
      <c r="W21" s="104">
        <f t="shared" si="14"/>
        <v>5.8</v>
      </c>
      <c r="X21" s="104">
        <f t="shared" si="15"/>
        <v>16.350000000000001</v>
      </c>
      <c r="Y21" s="104">
        <f t="shared" si="16"/>
        <v>0</v>
      </c>
      <c r="Z21" s="104">
        <f t="shared" si="17"/>
        <v>0</v>
      </c>
      <c r="AA21" s="107"/>
      <c r="AB21" s="107"/>
      <c r="AC21" s="107"/>
      <c r="AD21" s="107"/>
      <c r="AE21" s="107"/>
      <c r="AF21" s="7"/>
      <c r="AG21" s="7"/>
      <c r="AH21" s="7"/>
      <c r="AI21" s="7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</row>
    <row r="22" spans="1:76" s="6" customFormat="1" ht="15.75">
      <c r="A22" s="98">
        <f t="shared" si="18"/>
        <v>45919</v>
      </c>
      <c r="B22" s="121">
        <v>59</v>
      </c>
      <c r="C22" s="121">
        <v>124</v>
      </c>
      <c r="D22" s="31">
        <f t="shared" si="6"/>
        <v>183</v>
      </c>
      <c r="E22" s="99">
        <f t="shared" si="19"/>
        <v>1825.5</v>
      </c>
      <c r="F22" s="62"/>
      <c r="G22" s="99">
        <f t="shared" si="7"/>
        <v>1825.5</v>
      </c>
      <c r="H22" s="99">
        <f t="shared" si="0"/>
        <v>0</v>
      </c>
      <c r="I22" s="100">
        <f t="shared" si="1"/>
        <v>1825.5</v>
      </c>
      <c r="J22" s="106">
        <f t="shared" si="20"/>
        <v>474.65</v>
      </c>
      <c r="K22" s="62"/>
      <c r="L22" s="99">
        <f t="shared" si="8"/>
        <v>474.65</v>
      </c>
      <c r="M22" s="99">
        <f t="shared" si="2"/>
        <v>24.5</v>
      </c>
      <c r="N22" s="100">
        <f t="shared" si="3"/>
        <v>450.15</v>
      </c>
      <c r="O22" s="60" t="s">
        <v>12</v>
      </c>
      <c r="P22" s="102">
        <f t="shared" si="9"/>
        <v>1.18</v>
      </c>
      <c r="Q22" s="102">
        <f t="shared" si="10"/>
        <v>3.7199999999999998</v>
      </c>
      <c r="R22" s="102">
        <f t="shared" si="11"/>
        <v>4.8999999999999995</v>
      </c>
      <c r="S22" s="102">
        <f t="shared" si="4"/>
        <v>2.95</v>
      </c>
      <c r="T22" s="102">
        <f t="shared" si="5"/>
        <v>9.2999999999999989</v>
      </c>
      <c r="U22" s="102">
        <f t="shared" si="12"/>
        <v>12.25</v>
      </c>
      <c r="V22" s="103">
        <f t="shared" si="13"/>
        <v>12.3</v>
      </c>
      <c r="W22" s="104">
        <f t="shared" si="14"/>
        <v>0</v>
      </c>
      <c r="X22" s="104">
        <f t="shared" si="15"/>
        <v>0</v>
      </c>
      <c r="Y22" s="104">
        <f t="shared" si="16"/>
        <v>5.9</v>
      </c>
      <c r="Z22" s="104">
        <f t="shared" si="17"/>
        <v>18.600000000000001</v>
      </c>
      <c r="AA22" s="107"/>
      <c r="AB22" s="107"/>
      <c r="AC22" s="107"/>
      <c r="AD22" s="107"/>
      <c r="AE22" s="107"/>
      <c r="AF22" s="7"/>
      <c r="AG22" s="7"/>
      <c r="AH22" s="7"/>
      <c r="AI22" s="7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</row>
    <row r="23" spans="1:76" s="6" customFormat="1" ht="15.75">
      <c r="A23" s="98">
        <f t="shared" si="18"/>
        <v>45920</v>
      </c>
      <c r="B23" s="121">
        <v>59</v>
      </c>
      <c r="C23" s="121">
        <v>124</v>
      </c>
      <c r="D23" s="31">
        <f t="shared" si="6"/>
        <v>183</v>
      </c>
      <c r="E23" s="99">
        <f t="shared" si="19"/>
        <v>1825.5</v>
      </c>
      <c r="F23" s="62"/>
      <c r="G23" s="99">
        <f t="shared" si="7"/>
        <v>1825.5</v>
      </c>
      <c r="H23" s="99">
        <f t="shared" si="0"/>
        <v>24.5</v>
      </c>
      <c r="I23" s="100">
        <f t="shared" si="1"/>
        <v>1801</v>
      </c>
      <c r="J23" s="106">
        <f t="shared" si="20"/>
        <v>450.15</v>
      </c>
      <c r="K23" s="62"/>
      <c r="L23" s="99">
        <f t="shared" si="8"/>
        <v>450.15</v>
      </c>
      <c r="M23" s="99">
        <f t="shared" si="2"/>
        <v>0</v>
      </c>
      <c r="N23" s="100">
        <f t="shared" si="3"/>
        <v>450.15</v>
      </c>
      <c r="O23" s="60" t="s">
        <v>11</v>
      </c>
      <c r="P23" s="102">
        <f t="shared" si="9"/>
        <v>1.18</v>
      </c>
      <c r="Q23" s="102">
        <f t="shared" si="10"/>
        <v>3.7199999999999998</v>
      </c>
      <c r="R23" s="102">
        <f t="shared" si="11"/>
        <v>4.8999999999999995</v>
      </c>
      <c r="S23" s="102">
        <f t="shared" si="4"/>
        <v>2.95</v>
      </c>
      <c r="T23" s="102">
        <f t="shared" si="5"/>
        <v>9.2999999999999989</v>
      </c>
      <c r="U23" s="102">
        <f t="shared" si="12"/>
        <v>12.25</v>
      </c>
      <c r="V23" s="103">
        <f t="shared" si="13"/>
        <v>12.3</v>
      </c>
      <c r="W23" s="104">
        <f t="shared" si="14"/>
        <v>5.9</v>
      </c>
      <c r="X23" s="104">
        <f t="shared" si="15"/>
        <v>18.600000000000001</v>
      </c>
      <c r="Y23" s="104">
        <f t="shared" si="16"/>
        <v>0</v>
      </c>
      <c r="Z23" s="104">
        <f t="shared" si="17"/>
        <v>0</v>
      </c>
      <c r="AA23" s="107"/>
      <c r="AB23" s="107"/>
      <c r="AC23" s="107"/>
      <c r="AD23" s="107"/>
      <c r="AE23" s="107"/>
      <c r="AF23" s="7"/>
      <c r="AG23" s="7"/>
      <c r="AH23" s="7"/>
      <c r="AI23" s="7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</row>
    <row r="24" spans="1:76" s="6" customFormat="1" ht="15.75">
      <c r="A24" s="98">
        <f t="shared" si="18"/>
        <v>45921</v>
      </c>
      <c r="B24" s="121">
        <v>61</v>
      </c>
      <c r="C24" s="121">
        <v>104</v>
      </c>
      <c r="D24" s="31">
        <f t="shared" si="6"/>
        <v>165</v>
      </c>
      <c r="E24" s="99">
        <f t="shared" si="19"/>
        <v>1801</v>
      </c>
      <c r="F24" s="62"/>
      <c r="G24" s="99">
        <f t="shared" si="7"/>
        <v>1801</v>
      </c>
      <c r="H24" s="99">
        <f t="shared" si="0"/>
        <v>0</v>
      </c>
      <c r="I24" s="100">
        <f t="shared" si="1"/>
        <v>1801</v>
      </c>
      <c r="J24" s="106">
        <f t="shared" si="20"/>
        <v>450.15</v>
      </c>
      <c r="K24" s="62"/>
      <c r="L24" s="99">
        <f t="shared" si="8"/>
        <v>450.15</v>
      </c>
      <c r="M24" s="99">
        <f t="shared" si="2"/>
        <v>21.7</v>
      </c>
      <c r="N24" s="100">
        <f t="shared" si="3"/>
        <v>428.45</v>
      </c>
      <c r="O24" s="60" t="s">
        <v>12</v>
      </c>
      <c r="P24" s="102">
        <f t="shared" si="9"/>
        <v>1.22</v>
      </c>
      <c r="Q24" s="102">
        <f t="shared" si="10"/>
        <v>3.12</v>
      </c>
      <c r="R24" s="102">
        <f t="shared" si="11"/>
        <v>4.34</v>
      </c>
      <c r="S24" s="102">
        <f t="shared" si="4"/>
        <v>3.0500000000000003</v>
      </c>
      <c r="T24" s="102">
        <f t="shared" si="5"/>
        <v>7.8</v>
      </c>
      <c r="U24" s="102">
        <f t="shared" si="12"/>
        <v>10.85</v>
      </c>
      <c r="V24" s="103">
        <f t="shared" si="13"/>
        <v>10.8</v>
      </c>
      <c r="W24" s="104">
        <f t="shared" si="14"/>
        <v>0</v>
      </c>
      <c r="X24" s="104">
        <f t="shared" si="15"/>
        <v>0</v>
      </c>
      <c r="Y24" s="104">
        <f t="shared" si="16"/>
        <v>6.1</v>
      </c>
      <c r="Z24" s="104">
        <f t="shared" si="17"/>
        <v>15.6</v>
      </c>
      <c r="AA24" s="92"/>
      <c r="AB24" s="92"/>
      <c r="AC24" s="92"/>
      <c r="AD24" s="92"/>
      <c r="AE24" s="92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</row>
    <row r="25" spans="1:76" s="6" customFormat="1" ht="15.75">
      <c r="A25" s="98">
        <f t="shared" si="18"/>
        <v>45922</v>
      </c>
      <c r="B25" s="121">
        <v>59</v>
      </c>
      <c r="C25" s="121">
        <v>95</v>
      </c>
      <c r="D25" s="31">
        <f t="shared" si="6"/>
        <v>154</v>
      </c>
      <c r="E25" s="99">
        <f t="shared" si="19"/>
        <v>1801</v>
      </c>
      <c r="F25" s="62"/>
      <c r="G25" s="99">
        <f t="shared" si="7"/>
        <v>1801</v>
      </c>
      <c r="H25" s="99">
        <f t="shared" si="0"/>
        <v>20.149999999999999</v>
      </c>
      <c r="I25" s="100">
        <f t="shared" si="1"/>
        <v>1780.85</v>
      </c>
      <c r="J25" s="106">
        <f t="shared" si="20"/>
        <v>428.45</v>
      </c>
      <c r="K25" s="62"/>
      <c r="L25" s="99">
        <f t="shared" si="8"/>
        <v>428.45</v>
      </c>
      <c r="M25" s="99">
        <f t="shared" si="2"/>
        <v>0</v>
      </c>
      <c r="N25" s="100">
        <f t="shared" si="3"/>
        <v>428.45</v>
      </c>
      <c r="O25" s="60" t="s">
        <v>11</v>
      </c>
      <c r="P25" s="102">
        <f t="shared" si="9"/>
        <v>1.18</v>
      </c>
      <c r="Q25" s="102">
        <f t="shared" si="10"/>
        <v>2.85</v>
      </c>
      <c r="R25" s="102">
        <f t="shared" si="11"/>
        <v>4.03</v>
      </c>
      <c r="S25" s="102">
        <f t="shared" si="4"/>
        <v>2.95</v>
      </c>
      <c r="T25" s="102">
        <f t="shared" si="5"/>
        <v>7.125</v>
      </c>
      <c r="U25" s="102">
        <f t="shared" si="12"/>
        <v>10.074999999999999</v>
      </c>
      <c r="V25" s="103">
        <f t="shared" si="13"/>
        <v>10.100000000000001</v>
      </c>
      <c r="W25" s="104">
        <f t="shared" si="14"/>
        <v>5.9</v>
      </c>
      <c r="X25" s="104">
        <f t="shared" si="15"/>
        <v>14.25</v>
      </c>
      <c r="Y25" s="104">
        <f t="shared" si="16"/>
        <v>0</v>
      </c>
      <c r="Z25" s="104">
        <f t="shared" si="17"/>
        <v>0</v>
      </c>
      <c r="AA25" s="92"/>
      <c r="AB25" s="92"/>
      <c r="AC25" s="92"/>
      <c r="AD25" s="92"/>
      <c r="AE25" s="92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</row>
    <row r="26" spans="1:76" s="6" customFormat="1" ht="15.75">
      <c r="A26" s="98">
        <f t="shared" si="18"/>
        <v>45923</v>
      </c>
      <c r="B26" s="121">
        <v>54</v>
      </c>
      <c r="C26" s="121">
        <v>98</v>
      </c>
      <c r="D26" s="31">
        <f t="shared" si="6"/>
        <v>152</v>
      </c>
      <c r="E26" s="99">
        <f t="shared" si="19"/>
        <v>1780.85</v>
      </c>
      <c r="F26" s="62"/>
      <c r="G26" s="99">
        <f t="shared" si="7"/>
        <v>1780.85</v>
      </c>
      <c r="H26" s="99">
        <f t="shared" si="0"/>
        <v>20.100000000000001</v>
      </c>
      <c r="I26" s="100">
        <f t="shared" si="1"/>
        <v>1760.75</v>
      </c>
      <c r="J26" s="106">
        <f t="shared" si="20"/>
        <v>428.45</v>
      </c>
      <c r="K26" s="62"/>
      <c r="L26" s="99">
        <f t="shared" si="8"/>
        <v>428.45</v>
      </c>
      <c r="M26" s="99">
        <f t="shared" si="2"/>
        <v>0</v>
      </c>
      <c r="N26" s="100">
        <f t="shared" si="3"/>
        <v>428.45</v>
      </c>
      <c r="O26" s="60" t="s">
        <v>11</v>
      </c>
      <c r="P26" s="102">
        <f t="shared" si="9"/>
        <v>1.08</v>
      </c>
      <c r="Q26" s="102">
        <f t="shared" si="10"/>
        <v>2.94</v>
      </c>
      <c r="R26" s="102">
        <f t="shared" si="11"/>
        <v>4.0199999999999996</v>
      </c>
      <c r="S26" s="102">
        <f t="shared" si="4"/>
        <v>2.7</v>
      </c>
      <c r="T26" s="102">
        <f t="shared" si="5"/>
        <v>7.35</v>
      </c>
      <c r="U26" s="102">
        <f t="shared" si="12"/>
        <v>10.050000000000001</v>
      </c>
      <c r="V26" s="103">
        <f t="shared" si="13"/>
        <v>10.100000000000001</v>
      </c>
      <c r="W26" s="104">
        <f t="shared" si="14"/>
        <v>5.4</v>
      </c>
      <c r="X26" s="104">
        <f t="shared" si="15"/>
        <v>14.7</v>
      </c>
      <c r="Y26" s="104">
        <f t="shared" si="16"/>
        <v>0</v>
      </c>
      <c r="Z26" s="104">
        <f t="shared" si="17"/>
        <v>0</v>
      </c>
      <c r="AA26" s="92"/>
      <c r="AB26" s="92"/>
      <c r="AC26" s="92"/>
      <c r="AD26" s="92"/>
      <c r="AE26" s="92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</row>
    <row r="27" spans="1:76" s="6" customFormat="1" ht="15.75">
      <c r="A27" s="98">
        <f t="shared" si="18"/>
        <v>45924</v>
      </c>
      <c r="B27" s="121">
        <v>0</v>
      </c>
      <c r="C27" s="121">
        <v>0</v>
      </c>
      <c r="D27" s="31">
        <f t="shared" si="6"/>
        <v>0</v>
      </c>
      <c r="E27" s="99">
        <f t="shared" si="19"/>
        <v>1760.75</v>
      </c>
      <c r="F27" s="62"/>
      <c r="G27" s="99">
        <f t="shared" si="7"/>
        <v>1760.75</v>
      </c>
      <c r="H27" s="99">
        <f t="shared" si="0"/>
        <v>0</v>
      </c>
      <c r="I27" s="100">
        <f t="shared" si="1"/>
        <v>1760.75</v>
      </c>
      <c r="J27" s="106">
        <f t="shared" si="20"/>
        <v>428.45</v>
      </c>
      <c r="K27" s="62"/>
      <c r="L27" s="99">
        <f t="shared" si="8"/>
        <v>428.45</v>
      </c>
      <c r="M27" s="99">
        <f t="shared" si="2"/>
        <v>0</v>
      </c>
      <c r="N27" s="100">
        <f t="shared" si="3"/>
        <v>428.45</v>
      </c>
      <c r="O27" s="60" t="s">
        <v>12</v>
      </c>
      <c r="P27" s="102">
        <f t="shared" si="9"/>
        <v>0</v>
      </c>
      <c r="Q27" s="102">
        <f t="shared" si="10"/>
        <v>0</v>
      </c>
      <c r="R27" s="102">
        <f t="shared" si="11"/>
        <v>0</v>
      </c>
      <c r="S27" s="102">
        <f t="shared" si="4"/>
        <v>0</v>
      </c>
      <c r="T27" s="102">
        <f t="shared" si="5"/>
        <v>0</v>
      </c>
      <c r="U27" s="102">
        <f t="shared" si="12"/>
        <v>0</v>
      </c>
      <c r="V27" s="103">
        <f t="shared" si="13"/>
        <v>0</v>
      </c>
      <c r="W27" s="104">
        <f t="shared" si="14"/>
        <v>0</v>
      </c>
      <c r="X27" s="104">
        <f t="shared" si="15"/>
        <v>0</v>
      </c>
      <c r="Y27" s="104">
        <f t="shared" si="16"/>
        <v>0</v>
      </c>
      <c r="Z27" s="104">
        <f t="shared" si="17"/>
        <v>0</v>
      </c>
      <c r="AA27" s="92"/>
      <c r="AB27" s="92"/>
      <c r="AC27" s="92"/>
      <c r="AD27" s="92"/>
      <c r="AE27" s="92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</row>
    <row r="28" spans="1:76" s="6" customFormat="1" ht="15.75">
      <c r="A28" s="98">
        <f t="shared" si="18"/>
        <v>45925</v>
      </c>
      <c r="B28" s="121">
        <v>0</v>
      </c>
      <c r="C28" s="121">
        <v>0</v>
      </c>
      <c r="D28" s="31">
        <f t="shared" si="6"/>
        <v>0</v>
      </c>
      <c r="E28" s="99">
        <f t="shared" si="19"/>
        <v>1760.75</v>
      </c>
      <c r="F28" s="62"/>
      <c r="G28" s="99">
        <f t="shared" si="7"/>
        <v>1760.75</v>
      </c>
      <c r="H28" s="99">
        <f t="shared" si="0"/>
        <v>0</v>
      </c>
      <c r="I28" s="100">
        <f t="shared" si="1"/>
        <v>1760.75</v>
      </c>
      <c r="J28" s="106">
        <f t="shared" si="20"/>
        <v>428.45</v>
      </c>
      <c r="K28" s="62"/>
      <c r="L28" s="99">
        <f t="shared" si="8"/>
        <v>428.45</v>
      </c>
      <c r="M28" s="99">
        <f t="shared" si="2"/>
        <v>0</v>
      </c>
      <c r="N28" s="100">
        <f t="shared" si="3"/>
        <v>428.45</v>
      </c>
      <c r="O28" s="60" t="s">
        <v>11</v>
      </c>
      <c r="P28" s="102">
        <f t="shared" si="9"/>
        <v>0</v>
      </c>
      <c r="Q28" s="102">
        <f t="shared" si="10"/>
        <v>0</v>
      </c>
      <c r="R28" s="102">
        <f t="shared" si="11"/>
        <v>0</v>
      </c>
      <c r="S28" s="102">
        <f t="shared" si="4"/>
        <v>0</v>
      </c>
      <c r="T28" s="102">
        <f t="shared" si="5"/>
        <v>0</v>
      </c>
      <c r="U28" s="102">
        <f t="shared" si="12"/>
        <v>0</v>
      </c>
      <c r="V28" s="103">
        <f t="shared" si="13"/>
        <v>0</v>
      </c>
      <c r="W28" s="104">
        <f t="shared" si="14"/>
        <v>0</v>
      </c>
      <c r="X28" s="104">
        <f t="shared" si="15"/>
        <v>0</v>
      </c>
      <c r="Y28" s="104">
        <f t="shared" si="16"/>
        <v>0</v>
      </c>
      <c r="Z28" s="104">
        <f t="shared" si="17"/>
        <v>0</v>
      </c>
      <c r="AA28" s="92"/>
      <c r="AB28" s="92"/>
      <c r="AC28" s="92"/>
      <c r="AD28" s="92"/>
      <c r="AE28" s="92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</row>
    <row r="29" spans="1:76" s="6" customFormat="1" ht="15.75">
      <c r="A29" s="98">
        <f t="shared" si="18"/>
        <v>45926</v>
      </c>
      <c r="B29" s="121">
        <v>0</v>
      </c>
      <c r="C29" s="121">
        <v>0</v>
      </c>
      <c r="D29" s="31">
        <f t="shared" si="6"/>
        <v>0</v>
      </c>
      <c r="E29" s="99">
        <f t="shared" si="19"/>
        <v>1760.75</v>
      </c>
      <c r="F29" s="62"/>
      <c r="G29" s="99">
        <f t="shared" si="7"/>
        <v>1760.75</v>
      </c>
      <c r="H29" s="99">
        <f t="shared" si="0"/>
        <v>0</v>
      </c>
      <c r="I29" s="100">
        <f t="shared" si="1"/>
        <v>1760.75</v>
      </c>
      <c r="J29" s="106">
        <f t="shared" si="20"/>
        <v>428.45</v>
      </c>
      <c r="K29" s="62"/>
      <c r="L29" s="99">
        <f t="shared" si="8"/>
        <v>428.45</v>
      </c>
      <c r="M29" s="99">
        <f t="shared" si="2"/>
        <v>0</v>
      </c>
      <c r="N29" s="100">
        <f t="shared" si="3"/>
        <v>428.45</v>
      </c>
      <c r="O29" s="60" t="s">
        <v>12</v>
      </c>
      <c r="P29" s="102">
        <f t="shared" si="9"/>
        <v>0</v>
      </c>
      <c r="Q29" s="102">
        <f t="shared" si="10"/>
        <v>0</v>
      </c>
      <c r="R29" s="102">
        <f t="shared" si="11"/>
        <v>0</v>
      </c>
      <c r="S29" s="102">
        <f t="shared" si="4"/>
        <v>0</v>
      </c>
      <c r="T29" s="102">
        <f t="shared" si="5"/>
        <v>0</v>
      </c>
      <c r="U29" s="102">
        <f t="shared" si="12"/>
        <v>0</v>
      </c>
      <c r="V29" s="103">
        <f t="shared" si="13"/>
        <v>0</v>
      </c>
      <c r="W29" s="104">
        <f t="shared" si="14"/>
        <v>0</v>
      </c>
      <c r="X29" s="104">
        <f t="shared" si="15"/>
        <v>0</v>
      </c>
      <c r="Y29" s="104">
        <f t="shared" si="16"/>
        <v>0</v>
      </c>
      <c r="Z29" s="104">
        <f t="shared" si="17"/>
        <v>0</v>
      </c>
      <c r="AA29" s="92"/>
      <c r="AB29" s="92"/>
      <c r="AC29" s="92"/>
      <c r="AD29" s="92"/>
      <c r="AE29" s="92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</row>
    <row r="30" spans="1:76" s="6" customFormat="1" ht="15.75">
      <c r="A30" s="98">
        <f t="shared" si="18"/>
        <v>45927</v>
      </c>
      <c r="B30" s="121">
        <v>30</v>
      </c>
      <c r="C30" s="121">
        <v>66</v>
      </c>
      <c r="D30" s="31">
        <f t="shared" si="6"/>
        <v>96</v>
      </c>
      <c r="E30" s="99">
        <f t="shared" si="19"/>
        <v>1760.75</v>
      </c>
      <c r="F30" s="62"/>
      <c r="G30" s="99">
        <f t="shared" si="7"/>
        <v>1760.75</v>
      </c>
      <c r="H30" s="99">
        <f t="shared" si="0"/>
        <v>12.9</v>
      </c>
      <c r="I30" s="100">
        <f t="shared" si="1"/>
        <v>1747.85</v>
      </c>
      <c r="J30" s="106">
        <f t="shared" si="20"/>
        <v>428.45</v>
      </c>
      <c r="K30" s="62"/>
      <c r="L30" s="99">
        <f t="shared" si="8"/>
        <v>428.45</v>
      </c>
      <c r="M30" s="99">
        <f t="shared" si="2"/>
        <v>0</v>
      </c>
      <c r="N30" s="100">
        <f t="shared" si="3"/>
        <v>428.45</v>
      </c>
      <c r="O30" s="60" t="s">
        <v>11</v>
      </c>
      <c r="P30" s="102">
        <f t="shared" si="9"/>
        <v>0.6</v>
      </c>
      <c r="Q30" s="102">
        <f t="shared" si="10"/>
        <v>1.98</v>
      </c>
      <c r="R30" s="102">
        <f t="shared" si="11"/>
        <v>2.58</v>
      </c>
      <c r="S30" s="102">
        <f t="shared" si="4"/>
        <v>1.5</v>
      </c>
      <c r="T30" s="102">
        <f t="shared" si="5"/>
        <v>4.95</v>
      </c>
      <c r="U30" s="102">
        <f t="shared" si="12"/>
        <v>6.45</v>
      </c>
      <c r="V30" s="103">
        <f t="shared" si="13"/>
        <v>6.5</v>
      </c>
      <c r="W30" s="104">
        <f t="shared" si="14"/>
        <v>3</v>
      </c>
      <c r="X30" s="104">
        <f t="shared" si="15"/>
        <v>9.9</v>
      </c>
      <c r="Y30" s="104">
        <f t="shared" si="16"/>
        <v>0</v>
      </c>
      <c r="Z30" s="104">
        <f t="shared" si="17"/>
        <v>0</v>
      </c>
      <c r="AA30" s="92"/>
      <c r="AB30" s="92"/>
      <c r="AC30" s="92"/>
      <c r="AD30" s="92"/>
      <c r="AE30" s="92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</row>
    <row r="31" spans="1:76" s="6" customFormat="1" ht="15.75">
      <c r="A31" s="98">
        <f t="shared" si="18"/>
        <v>45928</v>
      </c>
      <c r="B31" s="121">
        <v>59</v>
      </c>
      <c r="C31" s="121">
        <v>101</v>
      </c>
      <c r="D31" s="31">
        <f t="shared" si="6"/>
        <v>160</v>
      </c>
      <c r="E31" s="99">
        <f t="shared" si="19"/>
        <v>1747.85</v>
      </c>
      <c r="F31" s="62"/>
      <c r="G31" s="99">
        <f t="shared" si="7"/>
        <v>1747.85</v>
      </c>
      <c r="H31" s="99">
        <f t="shared" si="0"/>
        <v>0</v>
      </c>
      <c r="I31" s="100">
        <f t="shared" si="1"/>
        <v>1747.85</v>
      </c>
      <c r="J31" s="106">
        <f t="shared" si="20"/>
        <v>428.45</v>
      </c>
      <c r="K31" s="62"/>
      <c r="L31" s="99">
        <f t="shared" si="8"/>
        <v>428.45</v>
      </c>
      <c r="M31" s="99">
        <f t="shared" si="2"/>
        <v>21.05</v>
      </c>
      <c r="N31" s="100">
        <f t="shared" si="3"/>
        <v>407.4</v>
      </c>
      <c r="O31" s="60" t="s">
        <v>12</v>
      </c>
      <c r="P31" s="102">
        <f t="shared" si="9"/>
        <v>1.18</v>
      </c>
      <c r="Q31" s="102">
        <f t="shared" si="10"/>
        <v>3.03</v>
      </c>
      <c r="R31" s="102">
        <f t="shared" si="11"/>
        <v>4.21</v>
      </c>
      <c r="S31" s="102">
        <f t="shared" si="4"/>
        <v>2.95</v>
      </c>
      <c r="T31" s="102">
        <f t="shared" si="5"/>
        <v>7.5749999999999993</v>
      </c>
      <c r="U31" s="102">
        <f t="shared" si="12"/>
        <v>10.524999999999999</v>
      </c>
      <c r="V31" s="103">
        <f t="shared" si="13"/>
        <v>10.5</v>
      </c>
      <c r="W31" s="104">
        <f t="shared" si="14"/>
        <v>0</v>
      </c>
      <c r="X31" s="104">
        <f t="shared" si="15"/>
        <v>0</v>
      </c>
      <c r="Y31" s="104">
        <f t="shared" si="16"/>
        <v>5.9</v>
      </c>
      <c r="Z31" s="104">
        <f t="shared" si="17"/>
        <v>15.15</v>
      </c>
      <c r="AA31" s="92"/>
      <c r="AB31" s="92"/>
      <c r="AC31" s="92"/>
      <c r="AD31" s="92"/>
      <c r="AE31" s="92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</row>
    <row r="32" spans="1:76" s="6" customFormat="1" ht="15.75">
      <c r="A32" s="98">
        <f t="shared" si="18"/>
        <v>45929</v>
      </c>
      <c r="B32" s="121">
        <v>59</v>
      </c>
      <c r="C32" s="121">
        <v>99</v>
      </c>
      <c r="D32" s="31">
        <f t="shared" si="6"/>
        <v>158</v>
      </c>
      <c r="E32" s="99">
        <f t="shared" si="19"/>
        <v>1747.85</v>
      </c>
      <c r="F32" s="62"/>
      <c r="G32" s="99">
        <f t="shared" si="7"/>
        <v>1747.85</v>
      </c>
      <c r="H32" s="99">
        <f t="shared" si="0"/>
        <v>20.75</v>
      </c>
      <c r="I32" s="100">
        <f t="shared" si="1"/>
        <v>1727.1</v>
      </c>
      <c r="J32" s="106">
        <f t="shared" si="20"/>
        <v>407.4</v>
      </c>
      <c r="K32" s="62"/>
      <c r="L32" s="99">
        <f t="shared" si="8"/>
        <v>407.4</v>
      </c>
      <c r="M32" s="99">
        <f t="shared" si="2"/>
        <v>0</v>
      </c>
      <c r="N32" s="108">
        <f t="shared" si="3"/>
        <v>407.4</v>
      </c>
      <c r="O32" s="61" t="s">
        <v>11</v>
      </c>
      <c r="P32" s="102">
        <f t="shared" si="9"/>
        <v>1.18</v>
      </c>
      <c r="Q32" s="102">
        <f t="shared" si="10"/>
        <v>2.9699999999999998</v>
      </c>
      <c r="R32" s="102">
        <f t="shared" si="11"/>
        <v>4.1499999999999995</v>
      </c>
      <c r="S32" s="102">
        <f t="shared" si="4"/>
        <v>2.95</v>
      </c>
      <c r="T32" s="102">
        <f t="shared" si="5"/>
        <v>7.4249999999999998</v>
      </c>
      <c r="U32" s="102">
        <f t="shared" si="12"/>
        <v>10.375</v>
      </c>
      <c r="V32" s="103">
        <f t="shared" si="13"/>
        <v>10.4</v>
      </c>
      <c r="W32" s="104">
        <f t="shared" si="14"/>
        <v>5.9</v>
      </c>
      <c r="X32" s="104">
        <f t="shared" si="15"/>
        <v>14.85</v>
      </c>
      <c r="Y32" s="104">
        <f t="shared" si="16"/>
        <v>0</v>
      </c>
      <c r="Z32" s="104">
        <f t="shared" si="17"/>
        <v>0</v>
      </c>
      <c r="AA32" s="92"/>
      <c r="AB32" s="92"/>
      <c r="AC32" s="92"/>
      <c r="AD32" s="92"/>
      <c r="AE32" s="92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</row>
    <row r="33" spans="1:76" s="6" customFormat="1" ht="15.75">
      <c r="A33" s="98">
        <f t="shared" si="18"/>
        <v>45930</v>
      </c>
      <c r="B33" s="121">
        <v>0</v>
      </c>
      <c r="C33" s="121">
        <v>0</v>
      </c>
      <c r="D33" s="31">
        <f t="shared" si="6"/>
        <v>0</v>
      </c>
      <c r="E33" s="99">
        <f t="shared" si="19"/>
        <v>1727.1</v>
      </c>
      <c r="F33" s="62"/>
      <c r="G33" s="99">
        <f t="shared" si="7"/>
        <v>1727.1</v>
      </c>
      <c r="H33" s="99">
        <f t="shared" si="0"/>
        <v>0</v>
      </c>
      <c r="I33" s="100">
        <f t="shared" si="1"/>
        <v>1727.1</v>
      </c>
      <c r="J33" s="106">
        <f t="shared" si="20"/>
        <v>407.4</v>
      </c>
      <c r="K33" s="62"/>
      <c r="L33" s="109">
        <f t="shared" si="8"/>
        <v>407.4</v>
      </c>
      <c r="M33" s="99">
        <f t="shared" si="2"/>
        <v>0</v>
      </c>
      <c r="N33" s="100">
        <f t="shared" si="3"/>
        <v>407.4</v>
      </c>
      <c r="O33" s="61" t="s">
        <v>11</v>
      </c>
      <c r="P33" s="102">
        <f t="shared" si="9"/>
        <v>0</v>
      </c>
      <c r="Q33" s="102">
        <f t="shared" si="10"/>
        <v>0</v>
      </c>
      <c r="R33" s="102">
        <f t="shared" si="11"/>
        <v>0</v>
      </c>
      <c r="S33" s="102">
        <f t="shared" si="4"/>
        <v>0</v>
      </c>
      <c r="T33" s="102">
        <f t="shared" si="5"/>
        <v>0</v>
      </c>
      <c r="U33" s="102">
        <f t="shared" si="12"/>
        <v>0</v>
      </c>
      <c r="V33" s="103">
        <f t="shared" si="13"/>
        <v>0</v>
      </c>
      <c r="W33" s="104">
        <f t="shared" si="14"/>
        <v>0</v>
      </c>
      <c r="X33" s="104">
        <f t="shared" si="15"/>
        <v>0</v>
      </c>
      <c r="Y33" s="104">
        <f t="shared" si="16"/>
        <v>0</v>
      </c>
      <c r="Z33" s="104">
        <f t="shared" si="17"/>
        <v>0</v>
      </c>
      <c r="AA33" s="92"/>
      <c r="AB33" s="92"/>
      <c r="AC33" s="92"/>
      <c r="AD33" s="92"/>
      <c r="AE33" s="92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</row>
    <row r="34" spans="1:76" s="6" customFormat="1" ht="15.75">
      <c r="A34" s="98">
        <f t="shared" si="18"/>
        <v>45931</v>
      </c>
      <c r="B34" s="121">
        <v>0</v>
      </c>
      <c r="C34" s="121">
        <v>0</v>
      </c>
      <c r="D34" s="31">
        <f t="shared" si="6"/>
        <v>0</v>
      </c>
      <c r="E34" s="99">
        <f t="shared" si="19"/>
        <v>1727.1</v>
      </c>
      <c r="F34" s="62"/>
      <c r="G34" s="99">
        <f t="shared" si="7"/>
        <v>1727.1</v>
      </c>
      <c r="H34" s="99">
        <f t="shared" si="0"/>
        <v>0</v>
      </c>
      <c r="I34" s="100">
        <f t="shared" si="1"/>
        <v>1727.1</v>
      </c>
      <c r="J34" s="106">
        <f t="shared" si="20"/>
        <v>407.4</v>
      </c>
      <c r="K34" s="62"/>
      <c r="L34" s="109">
        <f t="shared" si="8"/>
        <v>407.4</v>
      </c>
      <c r="M34" s="99">
        <f t="shared" si="2"/>
        <v>0</v>
      </c>
      <c r="N34" s="100">
        <f t="shared" si="3"/>
        <v>407.4</v>
      </c>
      <c r="O34" s="61" t="s">
        <v>12</v>
      </c>
      <c r="P34" s="102">
        <f t="shared" si="9"/>
        <v>0</v>
      </c>
      <c r="Q34" s="102">
        <f t="shared" si="10"/>
        <v>0</v>
      </c>
      <c r="R34" s="102">
        <f t="shared" si="11"/>
        <v>0</v>
      </c>
      <c r="S34" s="102">
        <f t="shared" si="4"/>
        <v>0</v>
      </c>
      <c r="T34" s="102">
        <f t="shared" si="5"/>
        <v>0</v>
      </c>
      <c r="U34" s="102">
        <f t="shared" si="12"/>
        <v>0</v>
      </c>
      <c r="V34" s="103">
        <f t="shared" si="13"/>
        <v>0</v>
      </c>
      <c r="W34" s="104">
        <f t="shared" si="14"/>
        <v>0</v>
      </c>
      <c r="X34" s="104">
        <f t="shared" si="15"/>
        <v>0</v>
      </c>
      <c r="Y34" s="104">
        <f t="shared" si="16"/>
        <v>0</v>
      </c>
      <c r="Z34" s="104">
        <f t="shared" si="17"/>
        <v>0</v>
      </c>
      <c r="AA34" s="92"/>
      <c r="AB34" s="92"/>
      <c r="AC34" s="92"/>
      <c r="AD34" s="92"/>
      <c r="AE34" s="92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</row>
    <row r="35" spans="1:76" s="3" customFormat="1" ht="15.75">
      <c r="A35" s="110" t="s">
        <v>14</v>
      </c>
      <c r="B35" s="111">
        <f>SUM(B4:B33)</f>
        <v>1022</v>
      </c>
      <c r="C35" s="111">
        <f>SUM(C4:C34)</f>
        <v>1924</v>
      </c>
      <c r="D35" s="5">
        <f t="shared" si="6"/>
        <v>2946</v>
      </c>
      <c r="E35" s="112">
        <f>E4</f>
        <v>1967</v>
      </c>
      <c r="F35" s="112">
        <f>SUM(F4:F33)</f>
        <v>0</v>
      </c>
      <c r="G35" s="112">
        <f t="shared" si="7"/>
        <v>1967</v>
      </c>
      <c r="H35" s="112">
        <f>SUM(H4:H33)</f>
        <v>239.9</v>
      </c>
      <c r="I35" s="113">
        <f t="shared" si="1"/>
        <v>1727.1</v>
      </c>
      <c r="J35" s="114">
        <f>J4</f>
        <v>558.29999999999995</v>
      </c>
      <c r="K35" s="112">
        <f>SUM(K4:K33)</f>
        <v>0</v>
      </c>
      <c r="L35" s="112">
        <f>J35+K35</f>
        <v>558.29999999999995</v>
      </c>
      <c r="M35" s="112">
        <f>SUM(M4:M33)</f>
        <v>150.9</v>
      </c>
      <c r="N35" s="115">
        <f t="shared" si="3"/>
        <v>407.4</v>
      </c>
      <c r="O35" s="116"/>
      <c r="P35" s="102">
        <f>SUM(P4:P34)</f>
        <v>20.440000000000005</v>
      </c>
      <c r="Q35" s="102">
        <f t="shared" ref="Q35:U35" si="21">SUM(Q4:Q34)</f>
        <v>57.719999999999992</v>
      </c>
      <c r="R35" s="102">
        <f t="shared" si="21"/>
        <v>78.159999999999982</v>
      </c>
      <c r="S35" s="102">
        <f t="shared" si="21"/>
        <v>51.100000000000016</v>
      </c>
      <c r="T35" s="102">
        <f t="shared" si="21"/>
        <v>144.29999999999998</v>
      </c>
      <c r="U35" s="102">
        <f t="shared" si="21"/>
        <v>195.39999999999998</v>
      </c>
      <c r="V35" s="103">
        <f t="shared" si="13"/>
        <v>195.4</v>
      </c>
      <c r="W35" s="117">
        <f>SUM(W4:W34)</f>
        <v>64.099999999999994</v>
      </c>
      <c r="X35" s="117">
        <f>SUM(X4:X34)</f>
        <v>175.79999999999998</v>
      </c>
      <c r="Y35" s="117">
        <f t="shared" ref="Y35:Z35" si="22">SUM(Y4:Y34)</f>
        <v>38.1</v>
      </c>
      <c r="Z35" s="117">
        <f t="shared" si="22"/>
        <v>112.8</v>
      </c>
      <c r="AA35" s="118"/>
      <c r="AB35" s="118"/>
      <c r="AC35" s="118"/>
      <c r="AD35" s="118"/>
      <c r="AE35" s="118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</row>
    <row r="36" spans="1:76">
      <c r="E36" s="4"/>
      <c r="F36" s="12"/>
      <c r="I36" s="1"/>
      <c r="J36" s="4"/>
      <c r="K36" s="2"/>
      <c r="L36" s="11"/>
      <c r="M36" s="11"/>
      <c r="N36" s="11"/>
      <c r="O36" s="11"/>
      <c r="P36" s="11"/>
      <c r="Q36" s="11"/>
      <c r="R36" s="11"/>
      <c r="AV36" s="7"/>
      <c r="AW36" s="7"/>
      <c r="AX36" s="7"/>
      <c r="AY36" s="7"/>
      <c r="BU36" s="1"/>
      <c r="BV36" s="1"/>
      <c r="BW36" s="1"/>
      <c r="BX36" s="1"/>
    </row>
    <row r="37" spans="1:76">
      <c r="E37" s="4"/>
      <c r="F37" s="171"/>
      <c r="G37" s="171"/>
      <c r="H37" s="171"/>
      <c r="I37" s="171"/>
      <c r="J37" s="171"/>
      <c r="L37" s="9"/>
      <c r="M37" s="9"/>
      <c r="N37" s="9"/>
      <c r="O37" s="9"/>
      <c r="AV37" s="7"/>
      <c r="AW37" s="7"/>
      <c r="AX37" s="7"/>
      <c r="AY37" s="7"/>
      <c r="BU37" s="1"/>
      <c r="BV37" s="1"/>
      <c r="BW37" s="1"/>
      <c r="BX37" s="1"/>
    </row>
    <row r="38" spans="1:76">
      <c r="E38" s="4"/>
      <c r="F38" s="12"/>
      <c r="I38" s="1"/>
      <c r="J38" s="4"/>
      <c r="L38" s="9"/>
      <c r="M38" s="9"/>
      <c r="N38" s="9"/>
      <c r="O38" s="9"/>
      <c r="AV38" s="7"/>
      <c r="AW38" s="7"/>
      <c r="AX38" s="7"/>
      <c r="AY38" s="7"/>
      <c r="BU38" s="1"/>
      <c r="BV38" s="1"/>
      <c r="BW38" s="1"/>
      <c r="BX38" s="1"/>
    </row>
  </sheetData>
  <sheetProtection algorithmName="SHA-512" hashValue="peRq+YB5RX4ZJgi3ygds7BeIlOdv/Zv206hKXEZD9WqcJPiJ9cSnX2Ap5XthM+17hbLaQpftJsA2v8oSLgymZQ==" saltValue="x1X1JKA/aV5xda0rOuHs8g==" spinCount="100000" sheet="1" objects="1" scenarios="1"/>
  <mergeCells count="16">
    <mergeCell ref="F37:J37"/>
    <mergeCell ref="A2:A3"/>
    <mergeCell ref="B2:C2"/>
    <mergeCell ref="E2:I2"/>
    <mergeCell ref="J2:N2"/>
    <mergeCell ref="A1:O1"/>
    <mergeCell ref="AA2:AE2"/>
    <mergeCell ref="AA3:AE3"/>
    <mergeCell ref="V2:V3"/>
    <mergeCell ref="T2:T3"/>
    <mergeCell ref="U2:U3"/>
    <mergeCell ref="O2:O3"/>
    <mergeCell ref="P2:P3"/>
    <mergeCell ref="Q2:Q3"/>
    <mergeCell ref="R2:R3"/>
    <mergeCell ref="S2:S3"/>
  </mergeCells>
  <conditionalFormatting sqref="A4:O34">
    <cfRule type="expression" dxfId="5" priority="1">
      <formula>TEXT($A4,"ddd")="Sun"</formula>
    </cfRule>
    <cfRule type="expression" dxfId="4" priority="2">
      <formula>TEXT($A$4,"ddd")="Sun"</formula>
    </cfRule>
  </conditionalFormatting>
  <dataValidations count="1">
    <dataValidation type="list" allowBlank="1" showInputMessage="1" showErrorMessage="1" sqref="K36 O4:O34" xr:uid="{00000000-0002-0000-0000-000000000000}">
      <formula1>"गेहूं,चावल "</formula1>
    </dataValidation>
  </dataValidations>
  <printOptions horizontalCentered="1"/>
  <pageMargins left="0.25" right="0.25" top="0.25" bottom="0.25" header="0" footer="0"/>
  <pageSetup paperSize="9" scale="9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EB24-BE78-4574-921F-96FF512341EF}">
  <sheetPr codeName="Sheet3"/>
  <dimension ref="A1:T18"/>
  <sheetViews>
    <sheetView zoomScale="136" zoomScaleNormal="136" workbookViewId="0">
      <selection activeCell="C9" sqref="C9"/>
    </sheetView>
  </sheetViews>
  <sheetFormatPr defaultRowHeight="15"/>
  <cols>
    <col min="1" max="1" width="3.5703125" style="25" customWidth="1"/>
    <col min="2" max="2" width="13.42578125" style="25" customWidth="1"/>
    <col min="3" max="6" width="7.42578125" style="25" customWidth="1"/>
    <col min="7" max="7" width="11.5703125" style="25" customWidth="1"/>
    <col min="8" max="8" width="12.85546875" style="25" customWidth="1"/>
    <col min="9" max="9" width="3.140625" style="25" customWidth="1"/>
    <col min="10" max="10" width="17.42578125" style="25" customWidth="1"/>
    <col min="11" max="11" width="9.5703125" style="25" customWidth="1"/>
    <col min="12" max="12" width="10.7109375" style="25" customWidth="1"/>
    <col min="13" max="13" width="10.28515625" style="25" customWidth="1"/>
    <col min="14" max="16384" width="9.140625" style="25"/>
  </cols>
  <sheetData>
    <row r="1" spans="1:20">
      <c r="A1" s="20"/>
      <c r="B1" s="20"/>
      <c r="C1" s="20"/>
      <c r="D1" s="20"/>
      <c r="E1" s="20"/>
      <c r="F1" s="20"/>
      <c r="G1" s="20"/>
      <c r="H1" s="20"/>
      <c r="I1" s="20"/>
    </row>
    <row r="2" spans="1:20" ht="20.25">
      <c r="A2" s="20"/>
      <c r="B2" s="174" t="s">
        <v>28</v>
      </c>
      <c r="C2" s="174"/>
      <c r="D2" s="174"/>
      <c r="E2" s="174"/>
      <c r="F2" s="174"/>
      <c r="G2" s="174"/>
      <c r="H2" s="174"/>
      <c r="I2" s="21"/>
      <c r="J2" s="26"/>
      <c r="K2" s="26"/>
      <c r="L2" s="26"/>
      <c r="M2" s="26"/>
      <c r="N2" s="26"/>
      <c r="O2" s="26"/>
    </row>
    <row r="3" spans="1:20" ht="1.5" customHeight="1">
      <c r="A3" s="20"/>
      <c r="B3" s="13"/>
      <c r="C3" s="13"/>
      <c r="D3" s="13"/>
      <c r="E3" s="13"/>
      <c r="F3" s="13"/>
      <c r="G3" s="13"/>
      <c r="H3" s="13"/>
      <c r="I3" s="21"/>
      <c r="J3" s="26"/>
      <c r="K3" s="26"/>
      <c r="L3" s="26"/>
      <c r="M3" s="26"/>
      <c r="N3" s="26"/>
      <c r="O3" s="26"/>
    </row>
    <row r="4" spans="1:20" s="28" customFormat="1" ht="18.75">
      <c r="A4" s="23"/>
      <c r="B4" s="177" t="s">
        <v>29</v>
      </c>
      <c r="C4" s="178" t="s">
        <v>26</v>
      </c>
      <c r="D4" s="179"/>
      <c r="E4" s="180" t="s">
        <v>27</v>
      </c>
      <c r="F4" s="180"/>
      <c r="G4" s="177" t="s">
        <v>38</v>
      </c>
      <c r="H4" s="177" t="s">
        <v>32</v>
      </c>
      <c r="I4" s="21"/>
      <c r="J4" s="27"/>
      <c r="K4" s="27"/>
      <c r="L4" s="27"/>
      <c r="M4" s="27"/>
      <c r="N4" s="27"/>
      <c r="O4" s="27"/>
    </row>
    <row r="5" spans="1:20" s="30" customFormat="1" ht="49.5">
      <c r="A5" s="24"/>
      <c r="B5" s="177"/>
      <c r="C5" s="14" t="s">
        <v>30</v>
      </c>
      <c r="D5" s="14" t="s">
        <v>31</v>
      </c>
      <c r="E5" s="14" t="s">
        <v>30</v>
      </c>
      <c r="F5" s="14" t="s">
        <v>31</v>
      </c>
      <c r="G5" s="177"/>
      <c r="H5" s="177"/>
      <c r="I5" s="22"/>
      <c r="J5" s="29"/>
      <c r="K5" s="29"/>
      <c r="L5" s="29"/>
      <c r="M5" s="29"/>
      <c r="N5" s="29"/>
      <c r="O5" s="29"/>
    </row>
    <row r="6" spans="1:20" ht="18.75">
      <c r="A6" s="20"/>
      <c r="B6" s="15" t="s">
        <v>33</v>
      </c>
      <c r="C6" s="16"/>
      <c r="D6" s="16"/>
      <c r="E6" s="17"/>
      <c r="F6" s="17"/>
      <c r="G6" s="18" t="s">
        <v>39</v>
      </c>
      <c r="H6" s="175">
        <f>ROUND(G7*'DATA ENTRY'!C7,0)</f>
        <v>6929</v>
      </c>
      <c r="I6" s="21"/>
      <c r="J6" s="26"/>
      <c r="K6" s="26"/>
      <c r="L6" s="26"/>
      <c r="M6" s="26"/>
      <c r="N6" s="26"/>
      <c r="O6" s="26"/>
    </row>
    <row r="7" spans="1:20" ht="18.75">
      <c r="A7" s="20"/>
      <c r="B7" s="15" t="s">
        <v>34</v>
      </c>
      <c r="C7" s="16"/>
      <c r="D7" s="16"/>
      <c r="E7" s="17"/>
      <c r="F7" s="17"/>
      <c r="G7" s="19">
        <f>'DAILY REGESTER'!B35</f>
        <v>1022</v>
      </c>
      <c r="H7" s="176"/>
      <c r="I7" s="21"/>
      <c r="J7" s="26"/>
      <c r="K7" s="26"/>
      <c r="L7" s="26"/>
      <c r="M7" s="26"/>
      <c r="N7" s="26"/>
      <c r="O7" s="26"/>
    </row>
    <row r="8" spans="1:20" ht="18.75">
      <c r="A8" s="20"/>
      <c r="B8" s="15" t="s">
        <v>35</v>
      </c>
      <c r="C8" s="16">
        <f>SUM(C6:C7)</f>
        <v>0</v>
      </c>
      <c r="D8" s="16">
        <f>SUM(D6:D7)</f>
        <v>0</v>
      </c>
      <c r="E8" s="16">
        <f>SUM(E6:E7)</f>
        <v>0</v>
      </c>
      <c r="F8" s="16">
        <f>SUM(F6:F7)</f>
        <v>0</v>
      </c>
      <c r="G8" s="18" t="s">
        <v>40</v>
      </c>
      <c r="H8" s="175">
        <f>ROUND(G9*'DATA ENTRY'!D7,0)</f>
        <v>19567</v>
      </c>
      <c r="I8" s="21"/>
      <c r="J8" s="26"/>
      <c r="K8" s="26"/>
      <c r="L8" s="26"/>
      <c r="M8" s="26"/>
      <c r="N8" s="26"/>
      <c r="O8" s="26"/>
    </row>
    <row r="9" spans="1:20" ht="18.75">
      <c r="A9" s="20"/>
      <c r="B9" s="15" t="s">
        <v>36</v>
      </c>
      <c r="C9" s="50">
        <f>'DAILY REGESTER'!W35</f>
        <v>64.099999999999994</v>
      </c>
      <c r="D9" s="50">
        <f>'DAILY REGESTER'!Y35</f>
        <v>38.1</v>
      </c>
      <c r="E9" s="51">
        <f>'DAILY REGESTER'!X35</f>
        <v>175.79999999999998</v>
      </c>
      <c r="F9" s="51">
        <f>'DAILY REGESTER'!Z35</f>
        <v>112.8</v>
      </c>
      <c r="G9" s="19">
        <f>'DAILY REGESTER'!C35</f>
        <v>1924</v>
      </c>
      <c r="H9" s="176"/>
      <c r="I9" s="21"/>
      <c r="J9" s="26"/>
      <c r="K9" s="26"/>
      <c r="L9" s="26"/>
      <c r="M9" s="26"/>
      <c r="N9" s="26"/>
      <c r="O9" s="26"/>
    </row>
    <row r="10" spans="1:20" ht="13.5" customHeight="1">
      <c r="A10" s="20"/>
      <c r="B10" s="183" t="s">
        <v>37</v>
      </c>
      <c r="C10" s="181">
        <f>C8-C9</f>
        <v>-64.099999999999994</v>
      </c>
      <c r="D10" s="181">
        <f t="shared" ref="D10:F10" si="0">D8-D9</f>
        <v>-38.1</v>
      </c>
      <c r="E10" s="181">
        <f t="shared" si="0"/>
        <v>-175.79999999999998</v>
      </c>
      <c r="F10" s="181">
        <f t="shared" si="0"/>
        <v>-112.8</v>
      </c>
      <c r="G10" s="18" t="s">
        <v>41</v>
      </c>
      <c r="H10" s="175">
        <f>SUM(H6:H9)</f>
        <v>26496</v>
      </c>
      <c r="I10" s="21"/>
      <c r="J10" s="26"/>
      <c r="K10" s="26"/>
      <c r="L10" s="26"/>
      <c r="M10" s="26"/>
      <c r="N10" s="26"/>
      <c r="O10" s="26"/>
    </row>
    <row r="11" spans="1:20" ht="13.5" customHeight="1">
      <c r="A11" s="20"/>
      <c r="B11" s="184"/>
      <c r="C11" s="182"/>
      <c r="D11" s="182"/>
      <c r="E11" s="182"/>
      <c r="F11" s="182"/>
      <c r="G11" s="19">
        <f>G7+G9</f>
        <v>2946</v>
      </c>
      <c r="H11" s="176"/>
      <c r="I11" s="20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18.75">
      <c r="A12" s="20"/>
      <c r="B12" s="20"/>
      <c r="C12" s="20"/>
      <c r="D12" s="20"/>
      <c r="E12" s="20"/>
      <c r="F12" s="20"/>
      <c r="G12" s="20"/>
      <c r="H12" s="20"/>
      <c r="I12" s="20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18.75"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8.75"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ht="18.75"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 ht="18.75"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0:20" ht="18.75"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10:20" ht="18.75"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</sheetData>
  <mergeCells count="14">
    <mergeCell ref="B2:H2"/>
    <mergeCell ref="H6:H7"/>
    <mergeCell ref="H8:H9"/>
    <mergeCell ref="H10:H11"/>
    <mergeCell ref="B4:B5"/>
    <mergeCell ref="C4:D4"/>
    <mergeCell ref="E4:F4"/>
    <mergeCell ref="G4:G5"/>
    <mergeCell ref="H4:H5"/>
    <mergeCell ref="F10:F11"/>
    <mergeCell ref="E10:E11"/>
    <mergeCell ref="D10:D11"/>
    <mergeCell ref="C10:C11"/>
    <mergeCell ref="B10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4538-BD96-4A0B-8960-A9E4328D3318}">
  <sheetPr codeName="Sheet4"/>
  <dimension ref="A1:Z38"/>
  <sheetViews>
    <sheetView tabSelected="1" view="pageBreakPreview" zoomScaleNormal="100" zoomScaleSheetLayoutView="100" workbookViewId="0">
      <selection activeCell="S4" sqref="S4"/>
    </sheetView>
  </sheetViews>
  <sheetFormatPr defaultRowHeight="18.75"/>
  <cols>
    <col min="1" max="1" width="9" style="69" customWidth="1"/>
    <col min="2" max="2" width="18" style="69" customWidth="1"/>
    <col min="3" max="3" width="12.28515625" style="69" customWidth="1"/>
    <col min="4" max="4" width="17.140625" style="69" customWidth="1"/>
    <col min="5" max="5" width="14" style="69" customWidth="1"/>
    <col min="6" max="6" width="15.85546875" style="69" customWidth="1"/>
    <col min="7" max="7" width="3.42578125" style="69" customWidth="1"/>
    <col min="8" max="8" width="7.42578125" style="69" hidden="1" customWidth="1"/>
    <col min="9" max="9" width="16.28515625" style="69" hidden="1" customWidth="1"/>
    <col min="10" max="10" width="11.85546875" style="69" hidden="1" customWidth="1"/>
    <col min="11" max="11" width="0" style="69" hidden="1" customWidth="1"/>
    <col min="12" max="12" width="0.7109375" style="69" customWidth="1"/>
    <col min="13" max="13" width="1.85546875" style="69" customWidth="1"/>
    <col min="14" max="14" width="8.7109375" style="69" customWidth="1"/>
    <col min="15" max="15" width="14.140625" style="69" customWidth="1"/>
    <col min="16" max="16" width="25.140625" style="69" customWidth="1"/>
    <col min="17" max="17" width="12.5703125" style="69" customWidth="1"/>
    <col min="18" max="18" width="10.7109375" style="69" customWidth="1"/>
    <col min="19" max="19" width="14.28515625" style="69" customWidth="1"/>
    <col min="20" max="20" width="3.28515625" style="69" customWidth="1"/>
    <col min="21" max="21" width="9.140625" style="69"/>
    <col min="22" max="22" width="19.7109375" style="69" customWidth="1"/>
    <col min="23" max="23" width="19.140625" style="69" customWidth="1"/>
    <col min="24" max="24" width="12" style="69" customWidth="1"/>
    <col min="25" max="25" width="11" style="69" customWidth="1"/>
    <col min="26" max="26" width="13.7109375" style="69" customWidth="1"/>
    <col min="27" max="16384" width="9.140625" style="69"/>
  </cols>
  <sheetData>
    <row r="1" spans="1:26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>
      <c r="A2" s="123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</row>
    <row r="3" spans="1:26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</row>
    <row r="4" spans="1:26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</row>
    <row r="5" spans="1:26">
      <c r="A5" s="185" t="s">
        <v>42</v>
      </c>
      <c r="B5" s="185"/>
      <c r="C5" s="185"/>
      <c r="D5" s="185"/>
      <c r="E5" s="185"/>
      <c r="F5" s="185"/>
      <c r="G5" s="67"/>
      <c r="H5" s="68"/>
      <c r="I5" s="68"/>
      <c r="J5" s="68"/>
      <c r="K5" s="68"/>
      <c r="L5" s="68"/>
      <c r="M5" s="68"/>
      <c r="N5" s="185" t="s">
        <v>61</v>
      </c>
      <c r="O5" s="185"/>
      <c r="P5" s="185"/>
      <c r="Q5" s="185"/>
      <c r="R5" s="185"/>
      <c r="S5" s="185"/>
      <c r="T5" s="68"/>
      <c r="U5" s="185" t="s">
        <v>62</v>
      </c>
      <c r="V5" s="185"/>
      <c r="W5" s="185"/>
      <c r="X5" s="185"/>
      <c r="Y5" s="185"/>
      <c r="Z5" s="185"/>
    </row>
    <row r="6" spans="1:26">
      <c r="A6" s="66" t="s">
        <v>47</v>
      </c>
      <c r="B6" s="66" t="s">
        <v>43</v>
      </c>
      <c r="C6" s="66" t="s">
        <v>44</v>
      </c>
      <c r="D6" s="66" t="s">
        <v>102</v>
      </c>
      <c r="E6" s="66" t="s">
        <v>45</v>
      </c>
      <c r="F6" s="66" t="s">
        <v>46</v>
      </c>
      <c r="G6" s="70"/>
      <c r="H6" s="68"/>
      <c r="I6" s="68"/>
      <c r="J6" s="68"/>
      <c r="K6" s="68"/>
      <c r="L6" s="68"/>
      <c r="M6" s="68"/>
      <c r="N6" s="66" t="s">
        <v>90</v>
      </c>
      <c r="O6" s="66" t="s">
        <v>60</v>
      </c>
      <c r="P6" s="66" t="s">
        <v>43</v>
      </c>
      <c r="Q6" s="66" t="s">
        <v>44</v>
      </c>
      <c r="R6" s="66" t="s">
        <v>45</v>
      </c>
      <c r="S6" s="66" t="s">
        <v>46</v>
      </c>
      <c r="T6" s="68"/>
      <c r="U6" s="71" t="s">
        <v>47</v>
      </c>
      <c r="V6" s="71" t="s">
        <v>60</v>
      </c>
      <c r="W6" s="71" t="s">
        <v>43</v>
      </c>
      <c r="X6" s="71" t="s">
        <v>44</v>
      </c>
      <c r="Y6" s="71" t="s">
        <v>45</v>
      </c>
      <c r="Z6" s="71" t="s">
        <v>46</v>
      </c>
    </row>
    <row r="7" spans="1:26">
      <c r="A7" s="71">
        <v>1</v>
      </c>
      <c r="B7" s="71" t="s">
        <v>48</v>
      </c>
      <c r="C7" s="72">
        <f>'DAILY REGESTER'!R35*2/5</f>
        <v>31.263999999999992</v>
      </c>
      <c r="D7" s="72">
        <v>31.25</v>
      </c>
      <c r="E7" s="64">
        <v>100</v>
      </c>
      <c r="F7" s="119">
        <f>ROUND(E7*D7,0)</f>
        <v>3125</v>
      </c>
      <c r="G7" s="73"/>
      <c r="H7" s="68"/>
      <c r="I7" s="68"/>
      <c r="J7" s="68"/>
      <c r="K7" s="68"/>
      <c r="L7" s="68"/>
      <c r="M7" s="68"/>
      <c r="N7" s="71">
        <v>1</v>
      </c>
      <c r="O7" s="75">
        <f>'DAILY REGESTER'!A4</f>
        <v>45901</v>
      </c>
      <c r="P7" s="63" t="s">
        <v>103</v>
      </c>
      <c r="Q7" s="74">
        <f>'DAILY REGESTER'!V4</f>
        <v>10.600000000000001</v>
      </c>
      <c r="R7" s="63">
        <v>30</v>
      </c>
      <c r="S7" s="119">
        <f>Q7*R7</f>
        <v>318.00000000000006</v>
      </c>
      <c r="T7" s="68"/>
      <c r="U7" s="71">
        <v>1</v>
      </c>
      <c r="V7" s="75" cm="1">
        <f t="array" ref="V7:V11">_xlfn._xlws.FILTER('DAILY REGESTER'!A4:A34,TEXT('DAILY REGESTER'!A4:A34,"dddd")="Tuesday")</f>
        <v>45902</v>
      </c>
      <c r="W7" s="64"/>
      <c r="X7" s="72">
        <f>IF(V7="","",VLOOKUP(V7,'DAILY REGESTER'!$A$4:$D$34,4,FALSE)*0.1)</f>
        <v>15.8</v>
      </c>
      <c r="Y7" s="64">
        <v>35</v>
      </c>
      <c r="Z7" s="72">
        <f>X7*Y7</f>
        <v>553</v>
      </c>
    </row>
    <row r="8" spans="1:26">
      <c r="A8" s="71">
        <v>2</v>
      </c>
      <c r="B8" s="71" t="s">
        <v>49</v>
      </c>
      <c r="C8" s="72">
        <f>'DAILY REGESTER'!R35*2/5</f>
        <v>31.263999999999992</v>
      </c>
      <c r="D8" s="72">
        <v>31.25</v>
      </c>
      <c r="E8" s="64">
        <v>80</v>
      </c>
      <c r="F8" s="119">
        <f t="shared" ref="F8:F17" si="0">ROUND(E8*D8,0)</f>
        <v>2500</v>
      </c>
      <c r="G8" s="73"/>
      <c r="H8" s="68"/>
      <c r="I8" s="68"/>
      <c r="J8" s="68"/>
      <c r="K8" s="68"/>
      <c r="L8" s="68"/>
      <c r="M8" s="68"/>
      <c r="N8" s="71">
        <v>2</v>
      </c>
      <c r="O8" s="75">
        <f>'DAILY REGESTER'!A5</f>
        <v>45902</v>
      </c>
      <c r="P8" s="63" t="s">
        <v>104</v>
      </c>
      <c r="Q8" s="74">
        <f>'DAILY REGESTER'!V5</f>
        <v>10.4</v>
      </c>
      <c r="R8" s="63">
        <v>35</v>
      </c>
      <c r="S8" s="119">
        <f t="shared" ref="S8:S37" si="1">Q8*R8</f>
        <v>364</v>
      </c>
      <c r="T8" s="68"/>
      <c r="U8" s="71">
        <v>2</v>
      </c>
      <c r="V8" s="75">
        <v>45909</v>
      </c>
      <c r="W8" s="64"/>
      <c r="X8" s="72">
        <f>IF(V8="","",VLOOKUP(V8,'DAILY REGESTER'!$A$4:$D$34,4,FALSE)*0.1)</f>
        <v>0</v>
      </c>
      <c r="Y8" s="64">
        <v>30</v>
      </c>
      <c r="Z8" s="72">
        <f t="shared" ref="Z8:Z11" si="2">X8*Y8</f>
        <v>0</v>
      </c>
    </row>
    <row r="9" spans="1:26">
      <c r="A9" s="71">
        <v>3</v>
      </c>
      <c r="B9" s="71" t="s">
        <v>50</v>
      </c>
      <c r="C9" s="72">
        <f>'DAILY REGESTER'!R35*1/5</f>
        <v>15.631999999999996</v>
      </c>
      <c r="D9" s="72">
        <v>15.6</v>
      </c>
      <c r="E9" s="64">
        <v>110</v>
      </c>
      <c r="F9" s="119">
        <f t="shared" si="0"/>
        <v>1716</v>
      </c>
      <c r="G9" s="73"/>
      <c r="H9" s="68"/>
      <c r="I9" s="68"/>
      <c r="J9" s="68"/>
      <c r="K9" s="68"/>
      <c r="L9" s="68"/>
      <c r="M9" s="68"/>
      <c r="N9" s="71">
        <v>3</v>
      </c>
      <c r="O9" s="75">
        <f>'DAILY REGESTER'!A6</f>
        <v>45903</v>
      </c>
      <c r="P9" s="63"/>
      <c r="Q9" s="74">
        <f>'DAILY REGESTER'!V6</f>
        <v>0</v>
      </c>
      <c r="R9" s="63">
        <v>0</v>
      </c>
      <c r="S9" s="119">
        <f t="shared" si="1"/>
        <v>0</v>
      </c>
      <c r="T9" s="68"/>
      <c r="U9" s="71">
        <v>3</v>
      </c>
      <c r="V9" s="75">
        <v>45916</v>
      </c>
      <c r="W9" s="64"/>
      <c r="X9" s="72">
        <f>IF(V9="","",VLOOKUP(V9,'DAILY REGESTER'!$A$4:$D$34,4,FALSE)*0.1)</f>
        <v>0</v>
      </c>
      <c r="Y9" s="64">
        <v>30</v>
      </c>
      <c r="Z9" s="72">
        <f t="shared" si="2"/>
        <v>0</v>
      </c>
    </row>
    <row r="10" spans="1:26">
      <c r="A10" s="71">
        <v>4</v>
      </c>
      <c r="B10" s="71" t="s">
        <v>51</v>
      </c>
      <c r="C10" s="72">
        <f>'DAILY REGESTER'!B35*5/1000+'DAILY REGESTER'!C35*7.5/1000</f>
        <v>19.54</v>
      </c>
      <c r="D10" s="72">
        <v>19.5</v>
      </c>
      <c r="E10" s="64">
        <v>160</v>
      </c>
      <c r="F10" s="119">
        <f t="shared" si="0"/>
        <v>3120</v>
      </c>
      <c r="G10" s="73"/>
      <c r="H10" s="68"/>
      <c r="I10" s="68"/>
      <c r="J10" s="68"/>
      <c r="K10" s="68"/>
      <c r="L10" s="68"/>
      <c r="M10" s="68"/>
      <c r="N10" s="71">
        <v>4</v>
      </c>
      <c r="O10" s="75">
        <f>'DAILY REGESTER'!A7</f>
        <v>45904</v>
      </c>
      <c r="P10" s="63" t="s">
        <v>105</v>
      </c>
      <c r="Q10" s="74">
        <f>'DAILY REGESTER'!V7</f>
        <v>9.5</v>
      </c>
      <c r="R10" s="63">
        <v>40</v>
      </c>
      <c r="S10" s="119">
        <f t="shared" si="1"/>
        <v>380</v>
      </c>
      <c r="T10" s="68"/>
      <c r="U10" s="71">
        <v>4</v>
      </c>
      <c r="V10" s="75">
        <v>45923</v>
      </c>
      <c r="W10" s="64"/>
      <c r="X10" s="72">
        <f>IF(V10="","",VLOOKUP(V10,'DAILY REGESTER'!$A$4:$D$34,4,FALSE)*0.1)</f>
        <v>15.200000000000001</v>
      </c>
      <c r="Y10" s="64">
        <v>40</v>
      </c>
      <c r="Z10" s="72">
        <f t="shared" si="2"/>
        <v>608</v>
      </c>
    </row>
    <row r="11" spans="1:26">
      <c r="A11" s="71">
        <v>5</v>
      </c>
      <c r="B11" s="71" t="s">
        <v>52</v>
      </c>
      <c r="C11" s="72">
        <f>Sheet2!G11*2/1000</f>
        <v>5.8920000000000003</v>
      </c>
      <c r="D11" s="72">
        <v>6</v>
      </c>
      <c r="E11" s="64">
        <v>300</v>
      </c>
      <c r="F11" s="119">
        <f t="shared" si="0"/>
        <v>1800</v>
      </c>
      <c r="G11" s="73"/>
      <c r="H11" s="68"/>
      <c r="I11" s="68"/>
      <c r="J11" s="68"/>
      <c r="K11" s="68"/>
      <c r="L11" s="68"/>
      <c r="M11" s="68"/>
      <c r="N11" s="71">
        <v>5</v>
      </c>
      <c r="O11" s="75">
        <f>'DAILY REGESTER'!A8</f>
        <v>45905</v>
      </c>
      <c r="P11" s="63" t="s">
        <v>106</v>
      </c>
      <c r="Q11" s="74">
        <f>'DAILY REGESTER'!V8</f>
        <v>11.100000000000001</v>
      </c>
      <c r="R11" s="63">
        <v>35</v>
      </c>
      <c r="S11" s="119">
        <f t="shared" si="1"/>
        <v>388.50000000000006</v>
      </c>
      <c r="T11" s="68"/>
      <c r="U11" s="71">
        <v>5</v>
      </c>
      <c r="V11" s="65">
        <v>45930</v>
      </c>
      <c r="W11" s="72"/>
      <c r="X11" s="72">
        <v>0</v>
      </c>
      <c r="Y11" s="64">
        <v>40</v>
      </c>
      <c r="Z11" s="85">
        <f t="shared" si="2"/>
        <v>0</v>
      </c>
    </row>
    <row r="12" spans="1:26">
      <c r="A12" s="71">
        <v>6</v>
      </c>
      <c r="B12" s="71" t="s">
        <v>53</v>
      </c>
      <c r="C12" s="72">
        <f>Sheet2!G11*2/1000</f>
        <v>5.8920000000000003</v>
      </c>
      <c r="D12" s="72">
        <v>6</v>
      </c>
      <c r="E12" s="64">
        <v>280</v>
      </c>
      <c r="F12" s="119">
        <f t="shared" si="0"/>
        <v>1680</v>
      </c>
      <c r="G12" s="73"/>
      <c r="H12" s="68"/>
      <c r="I12" s="68"/>
      <c r="J12" s="68"/>
      <c r="K12" s="68"/>
      <c r="L12" s="68"/>
      <c r="M12" s="68"/>
      <c r="N12" s="71">
        <v>6</v>
      </c>
      <c r="O12" s="75">
        <f>'DAILY REGESTER'!A9</f>
        <v>45906</v>
      </c>
      <c r="P12" s="63"/>
      <c r="Q12" s="74">
        <f>'DAILY REGESTER'!V9</f>
        <v>0</v>
      </c>
      <c r="R12" s="63">
        <v>0</v>
      </c>
      <c r="S12" s="119">
        <f t="shared" si="1"/>
        <v>0</v>
      </c>
      <c r="T12" s="68"/>
      <c r="U12" s="71">
        <v>6</v>
      </c>
      <c r="V12" s="198" t="s">
        <v>14</v>
      </c>
      <c r="W12" s="198"/>
      <c r="X12" s="198"/>
      <c r="Y12" s="198"/>
      <c r="Z12" s="72">
        <f>SUM(Z7:Z11)</f>
        <v>1161</v>
      </c>
    </row>
    <row r="13" spans="1:26">
      <c r="A13" s="71">
        <v>7</v>
      </c>
      <c r="B13" s="71" t="s">
        <v>54</v>
      </c>
      <c r="C13" s="72">
        <f>Sheet2!G11*1.3/1000</f>
        <v>3.8298000000000001</v>
      </c>
      <c r="D13" s="72">
        <v>3.5</v>
      </c>
      <c r="E13" s="64">
        <v>250</v>
      </c>
      <c r="F13" s="119">
        <f t="shared" si="0"/>
        <v>875</v>
      </c>
      <c r="G13" s="73"/>
      <c r="H13" s="68"/>
      <c r="I13" s="68"/>
      <c r="J13" s="68"/>
      <c r="K13" s="68"/>
      <c r="L13" s="68"/>
      <c r="M13" s="68"/>
      <c r="N13" s="71">
        <v>7</v>
      </c>
      <c r="O13" s="75">
        <f>'DAILY REGESTER'!A10</f>
        <v>45907</v>
      </c>
      <c r="P13" s="63" t="s">
        <v>107</v>
      </c>
      <c r="Q13" s="74">
        <f>'DAILY REGESTER'!V10</f>
        <v>9.2000000000000011</v>
      </c>
      <c r="R13" s="63">
        <v>30</v>
      </c>
      <c r="S13" s="119">
        <f t="shared" si="1"/>
        <v>276.00000000000006</v>
      </c>
      <c r="T13" s="68"/>
      <c r="U13" s="201" t="s">
        <v>74</v>
      </c>
      <c r="V13" s="201"/>
      <c r="W13" s="201"/>
      <c r="X13" s="68"/>
      <c r="Y13" s="68"/>
      <c r="Z13" s="68"/>
    </row>
    <row r="14" spans="1:26">
      <c r="A14" s="71">
        <v>8</v>
      </c>
      <c r="B14" s="71" t="s">
        <v>55</v>
      </c>
      <c r="C14" s="72">
        <f>Sheet2!G11*0.25/1000</f>
        <v>0.73650000000000004</v>
      </c>
      <c r="D14" s="72">
        <v>0.75</v>
      </c>
      <c r="E14" s="64">
        <v>350</v>
      </c>
      <c r="F14" s="119">
        <f t="shared" si="0"/>
        <v>263</v>
      </c>
      <c r="G14" s="73"/>
      <c r="H14" s="68"/>
      <c r="I14" s="68"/>
      <c r="J14" s="68"/>
      <c r="K14" s="68"/>
      <c r="L14" s="68"/>
      <c r="M14" s="68"/>
      <c r="N14" s="71">
        <v>8</v>
      </c>
      <c r="O14" s="75">
        <f>'DAILY REGESTER'!A11</f>
        <v>45908</v>
      </c>
      <c r="P14" s="63" t="s">
        <v>104</v>
      </c>
      <c r="Q14" s="74">
        <f>'DAILY REGESTER'!V11</f>
        <v>10.3</v>
      </c>
      <c r="R14" s="63">
        <v>30</v>
      </c>
      <c r="S14" s="119">
        <f t="shared" si="1"/>
        <v>309</v>
      </c>
      <c r="T14" s="68"/>
      <c r="U14" s="77" t="s">
        <v>75</v>
      </c>
      <c r="V14" s="199">
        <f>V33</f>
        <v>15139</v>
      </c>
      <c r="W14" s="199"/>
      <c r="X14" s="68"/>
      <c r="Y14" s="68"/>
      <c r="Z14" s="68"/>
    </row>
    <row r="15" spans="1:26">
      <c r="A15" s="71">
        <v>9</v>
      </c>
      <c r="B15" s="71" t="s">
        <v>56</v>
      </c>
      <c r="C15" s="72">
        <f>Sheet2!G11*2/1000</f>
        <v>5.8920000000000003</v>
      </c>
      <c r="D15" s="72">
        <v>6</v>
      </c>
      <c r="E15" s="64">
        <v>10</v>
      </c>
      <c r="F15" s="119">
        <f t="shared" si="0"/>
        <v>60</v>
      </c>
      <c r="G15" s="73"/>
      <c r="H15" s="68"/>
      <c r="I15" s="68"/>
      <c r="J15" s="68"/>
      <c r="K15" s="68"/>
      <c r="L15" s="68"/>
      <c r="M15" s="68"/>
      <c r="N15" s="71">
        <v>9</v>
      </c>
      <c r="O15" s="75">
        <f>'DAILY REGESTER'!A12</f>
        <v>45909</v>
      </c>
      <c r="P15" s="63"/>
      <c r="Q15" s="74">
        <f>'DAILY REGESTER'!V12</f>
        <v>0</v>
      </c>
      <c r="R15" s="63">
        <v>30</v>
      </c>
      <c r="S15" s="119">
        <f t="shared" si="1"/>
        <v>0</v>
      </c>
      <c r="T15" s="68"/>
      <c r="U15" s="77" t="s">
        <v>66</v>
      </c>
      <c r="V15" s="199">
        <f t="shared" ref="V15:V18" si="3">V34</f>
        <v>1161</v>
      </c>
      <c r="W15" s="199"/>
      <c r="X15" s="68"/>
      <c r="Y15" s="68"/>
      <c r="Z15" s="68"/>
    </row>
    <row r="16" spans="1:26">
      <c r="A16" s="71">
        <v>10</v>
      </c>
      <c r="B16" s="71" t="s">
        <v>84</v>
      </c>
      <c r="C16" s="72">
        <v>2</v>
      </c>
      <c r="D16" s="72">
        <v>0</v>
      </c>
      <c r="E16" s="64">
        <v>1</v>
      </c>
      <c r="F16" s="119">
        <f t="shared" si="0"/>
        <v>0</v>
      </c>
      <c r="G16" s="73"/>
      <c r="H16" s="68"/>
      <c r="I16" s="68"/>
      <c r="J16" s="68"/>
      <c r="K16" s="68"/>
      <c r="L16" s="68"/>
      <c r="M16" s="68"/>
      <c r="N16" s="71">
        <v>10</v>
      </c>
      <c r="O16" s="75">
        <f>'DAILY REGESTER'!A13</f>
        <v>45910</v>
      </c>
      <c r="P16" s="63"/>
      <c r="Q16" s="74">
        <f>'DAILY REGESTER'!V13</f>
        <v>0</v>
      </c>
      <c r="R16" s="63">
        <v>30</v>
      </c>
      <c r="S16" s="119">
        <f t="shared" si="1"/>
        <v>0</v>
      </c>
      <c r="T16" s="68"/>
      <c r="U16" s="77" t="s">
        <v>67</v>
      </c>
      <c r="V16" s="199">
        <f t="shared" si="3"/>
        <v>6261.5</v>
      </c>
      <c r="W16" s="199"/>
      <c r="X16" s="68"/>
      <c r="Y16" s="68"/>
      <c r="Z16" s="68"/>
    </row>
    <row r="17" spans="1:26">
      <c r="A17" s="71">
        <v>11</v>
      </c>
      <c r="B17" s="71" t="s">
        <v>85</v>
      </c>
      <c r="C17" s="72">
        <v>0</v>
      </c>
      <c r="D17" s="72"/>
      <c r="E17" s="64">
        <v>10</v>
      </c>
      <c r="F17" s="119">
        <f t="shared" si="0"/>
        <v>0</v>
      </c>
      <c r="G17" s="73"/>
      <c r="H17" s="68"/>
      <c r="I17" s="68"/>
      <c r="J17" s="68"/>
      <c r="K17" s="68"/>
      <c r="L17" s="68"/>
      <c r="M17" s="68"/>
      <c r="N17" s="71">
        <v>11</v>
      </c>
      <c r="O17" s="75">
        <f>'DAILY REGESTER'!A14</f>
        <v>45911</v>
      </c>
      <c r="P17" s="63" t="s">
        <v>108</v>
      </c>
      <c r="Q17" s="74">
        <f>'DAILY REGESTER'!V14</f>
        <v>7.1000000000000005</v>
      </c>
      <c r="R17" s="63">
        <v>40</v>
      </c>
      <c r="S17" s="119">
        <f t="shared" si="1"/>
        <v>284</v>
      </c>
      <c r="T17" s="68"/>
      <c r="U17" s="77" t="s">
        <v>68</v>
      </c>
      <c r="V17" s="199">
        <f t="shared" si="3"/>
        <v>2230</v>
      </c>
      <c r="W17" s="199"/>
      <c r="X17" s="68"/>
      <c r="Y17" s="68" t="s">
        <v>101</v>
      </c>
      <c r="Z17" s="68"/>
    </row>
    <row r="18" spans="1:26">
      <c r="A18" s="78" t="s">
        <v>57</v>
      </c>
      <c r="B18" s="78"/>
      <c r="C18" s="78"/>
      <c r="D18" s="78"/>
      <c r="E18" s="78"/>
      <c r="F18" s="119">
        <f>SUM(F7:F17)</f>
        <v>15139</v>
      </c>
      <c r="G18" s="68"/>
      <c r="H18" s="68"/>
      <c r="I18" s="68"/>
      <c r="J18" s="73"/>
      <c r="K18" s="68"/>
      <c r="L18" s="68"/>
      <c r="M18" s="68"/>
      <c r="N18" s="71">
        <v>12</v>
      </c>
      <c r="O18" s="75">
        <f>'DAILY REGESTER'!A15</f>
        <v>45912</v>
      </c>
      <c r="P18" s="63" t="s">
        <v>103</v>
      </c>
      <c r="Q18" s="74">
        <f>'DAILY REGESTER'!V15</f>
        <v>10.3</v>
      </c>
      <c r="R18" s="63">
        <v>30</v>
      </c>
      <c r="S18" s="119">
        <f t="shared" si="1"/>
        <v>309</v>
      </c>
      <c r="T18" s="68"/>
      <c r="U18" s="77" t="s">
        <v>69</v>
      </c>
      <c r="V18" s="199">
        <f t="shared" si="3"/>
        <v>719.7</v>
      </c>
      <c r="W18" s="199"/>
      <c r="X18" s="68"/>
      <c r="Y18" s="68"/>
      <c r="Z18" s="68"/>
    </row>
    <row r="19" spans="1:26">
      <c r="A19" s="185" t="s">
        <v>58</v>
      </c>
      <c r="B19" s="185"/>
      <c r="C19" s="185"/>
      <c r="D19" s="185"/>
      <c r="E19" s="185"/>
      <c r="F19" s="185"/>
      <c r="G19" s="79"/>
      <c r="H19" s="68"/>
      <c r="I19" s="68"/>
      <c r="J19" s="68"/>
      <c r="K19" s="68"/>
      <c r="L19" s="68"/>
      <c r="M19" s="68"/>
      <c r="N19" s="71">
        <v>13</v>
      </c>
      <c r="O19" s="75">
        <f>'DAILY REGESTER'!A16</f>
        <v>45913</v>
      </c>
      <c r="P19" s="63" t="s">
        <v>109</v>
      </c>
      <c r="Q19" s="74">
        <f>'DAILY REGESTER'!V16</f>
        <v>11.8</v>
      </c>
      <c r="R19" s="63">
        <v>25</v>
      </c>
      <c r="S19" s="119">
        <f t="shared" si="1"/>
        <v>295</v>
      </c>
      <c r="T19" s="68"/>
      <c r="U19" s="77" t="s">
        <v>89</v>
      </c>
      <c r="V19" s="199">
        <f>F37</f>
        <v>984.79999999999927</v>
      </c>
      <c r="W19" s="199"/>
      <c r="X19" s="68"/>
      <c r="Y19" s="68"/>
      <c r="Z19" s="68"/>
    </row>
    <row r="20" spans="1:26">
      <c r="A20" s="66" t="s">
        <v>47</v>
      </c>
      <c r="B20" s="66" t="s">
        <v>43</v>
      </c>
      <c r="C20" s="66" t="s">
        <v>44</v>
      </c>
      <c r="D20" s="66"/>
      <c r="E20" s="66" t="s">
        <v>45</v>
      </c>
      <c r="F20" s="66" t="s">
        <v>46</v>
      </c>
      <c r="G20" s="68"/>
      <c r="H20" s="68"/>
      <c r="I20" s="68"/>
      <c r="J20" s="68"/>
      <c r="K20" s="68"/>
      <c r="L20" s="68"/>
      <c r="M20" s="68"/>
      <c r="N20" s="71">
        <v>14</v>
      </c>
      <c r="O20" s="75">
        <f>'DAILY REGESTER'!A17</f>
        <v>45914</v>
      </c>
      <c r="P20" s="63" t="s">
        <v>110</v>
      </c>
      <c r="Q20" s="74">
        <f>'DAILY REGESTER'!V17</f>
        <v>11.3</v>
      </c>
      <c r="R20" s="63">
        <v>30</v>
      </c>
      <c r="S20" s="119">
        <f t="shared" si="1"/>
        <v>339</v>
      </c>
      <c r="T20" s="68"/>
      <c r="U20" s="80" t="s">
        <v>35</v>
      </c>
      <c r="V20" s="200">
        <f>SUM(V14:W19)</f>
        <v>26496</v>
      </c>
      <c r="W20" s="200"/>
      <c r="X20" s="68"/>
      <c r="Y20" s="68"/>
      <c r="Z20" s="68"/>
    </row>
    <row r="21" spans="1:26">
      <c r="A21" s="71">
        <v>1</v>
      </c>
      <c r="B21" s="71" t="s">
        <v>59</v>
      </c>
      <c r="C21" s="64">
        <v>2.5</v>
      </c>
      <c r="D21" s="64"/>
      <c r="E21" s="63">
        <v>892</v>
      </c>
      <c r="F21" s="119">
        <f>E21*C21</f>
        <v>2230</v>
      </c>
      <c r="G21" s="68"/>
      <c r="H21" s="68"/>
      <c r="I21" s="68"/>
      <c r="J21" s="68"/>
      <c r="K21" s="68"/>
      <c r="L21" s="68"/>
      <c r="M21" s="68"/>
      <c r="N21" s="71">
        <v>15</v>
      </c>
      <c r="O21" s="75">
        <f>'DAILY REGESTER'!A18</f>
        <v>45915</v>
      </c>
      <c r="P21" s="63"/>
      <c r="Q21" s="74">
        <f>'DAILY REGESTER'!V18</f>
        <v>0</v>
      </c>
      <c r="R21" s="63">
        <v>40</v>
      </c>
      <c r="S21" s="119">
        <f t="shared" si="1"/>
        <v>0</v>
      </c>
      <c r="T21" s="81"/>
      <c r="U21" s="81"/>
      <c r="V21" s="81"/>
      <c r="W21" s="81"/>
      <c r="X21" s="68"/>
      <c r="Y21" s="68"/>
      <c r="Z21" s="68"/>
    </row>
    <row r="22" spans="1:26">
      <c r="A22" s="71">
        <v>2</v>
      </c>
      <c r="B22" s="71"/>
      <c r="C22" s="63"/>
      <c r="D22" s="63"/>
      <c r="E22" s="63"/>
      <c r="F22" s="72"/>
      <c r="G22" s="68"/>
      <c r="H22" s="68"/>
      <c r="I22" s="68"/>
      <c r="J22" s="68"/>
      <c r="K22" s="68"/>
      <c r="L22" s="68"/>
      <c r="M22" s="68"/>
      <c r="N22" s="71">
        <v>16</v>
      </c>
      <c r="O22" s="75">
        <f>'DAILY REGESTER'!A19</f>
        <v>45916</v>
      </c>
      <c r="P22" s="63"/>
      <c r="Q22" s="74">
        <f>'DAILY REGESTER'!V19</f>
        <v>0</v>
      </c>
      <c r="R22" s="63">
        <v>30</v>
      </c>
      <c r="S22" s="119">
        <f t="shared" si="1"/>
        <v>0</v>
      </c>
      <c r="T22" s="81"/>
      <c r="U22" s="196" t="s">
        <v>70</v>
      </c>
      <c r="V22" s="196"/>
      <c r="W22" s="196"/>
      <c r="X22" s="68"/>
      <c r="Y22" s="68"/>
      <c r="Z22" s="68"/>
    </row>
    <row r="23" spans="1:26">
      <c r="A23" s="71">
        <v>3</v>
      </c>
      <c r="B23" s="71"/>
      <c r="C23" s="71"/>
      <c r="D23" s="71"/>
      <c r="E23" s="71"/>
      <c r="F23" s="72"/>
      <c r="G23" s="68"/>
      <c r="H23" s="68"/>
      <c r="I23" s="68"/>
      <c r="J23" s="68"/>
      <c r="K23" s="68"/>
      <c r="L23" s="68"/>
      <c r="M23" s="68"/>
      <c r="N23" s="71">
        <v>17</v>
      </c>
      <c r="O23" s="75">
        <f>'DAILY REGESTER'!A20</f>
        <v>45917</v>
      </c>
      <c r="P23" s="63"/>
      <c r="Q23" s="74">
        <f>'DAILY REGESTER'!V20</f>
        <v>0</v>
      </c>
      <c r="R23" s="63">
        <v>50</v>
      </c>
      <c r="S23" s="119">
        <f t="shared" si="1"/>
        <v>0</v>
      </c>
      <c r="T23" s="81"/>
      <c r="U23" s="196" t="s">
        <v>71</v>
      </c>
      <c r="V23" s="196"/>
      <c r="W23" s="82">
        <f>Sheet2!H10</f>
        <v>26496</v>
      </c>
      <c r="X23" s="68"/>
      <c r="Y23" s="68"/>
      <c r="Z23" s="68"/>
    </row>
    <row r="24" spans="1:26">
      <c r="A24" s="71">
        <v>4</v>
      </c>
      <c r="B24" s="193" t="s">
        <v>35</v>
      </c>
      <c r="C24" s="194"/>
      <c r="D24" s="194"/>
      <c r="E24" s="195"/>
      <c r="F24" s="72">
        <f>SUM(F21:F23)</f>
        <v>2230</v>
      </c>
      <c r="G24" s="68"/>
      <c r="H24" s="68"/>
      <c r="I24" s="68"/>
      <c r="J24" s="68"/>
      <c r="K24" s="68"/>
      <c r="L24" s="68"/>
      <c r="M24" s="68"/>
      <c r="N24" s="71">
        <v>18</v>
      </c>
      <c r="O24" s="75">
        <f>'DAILY REGESTER'!A21</f>
        <v>45918</v>
      </c>
      <c r="P24" s="63" t="s">
        <v>109</v>
      </c>
      <c r="Q24" s="74">
        <f>'DAILY REGESTER'!V21</f>
        <v>11.100000000000001</v>
      </c>
      <c r="R24" s="63">
        <v>40</v>
      </c>
      <c r="S24" s="119">
        <f t="shared" si="1"/>
        <v>444.00000000000006</v>
      </c>
      <c r="T24" s="81"/>
      <c r="U24" s="197" t="s">
        <v>72</v>
      </c>
      <c r="V24" s="197"/>
      <c r="W24" s="82">
        <f>V38</f>
        <v>25511.200000000001</v>
      </c>
      <c r="X24" s="68"/>
      <c r="Y24" s="68"/>
      <c r="Z24" s="68"/>
    </row>
    <row r="25" spans="1:26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1">
        <v>19</v>
      </c>
      <c r="O25" s="75">
        <f>'DAILY REGESTER'!A22</f>
        <v>45919</v>
      </c>
      <c r="P25" s="63" t="s">
        <v>103</v>
      </c>
      <c r="Q25" s="74">
        <f>'DAILY REGESTER'!V22</f>
        <v>12.3</v>
      </c>
      <c r="R25" s="63">
        <v>30</v>
      </c>
      <c r="S25" s="119">
        <f t="shared" si="1"/>
        <v>369</v>
      </c>
      <c r="T25" s="81"/>
      <c r="U25" s="197" t="s">
        <v>70</v>
      </c>
      <c r="V25" s="197"/>
      <c r="W25" s="82">
        <f>W23-W24</f>
        <v>984.79999999999927</v>
      </c>
      <c r="X25" s="68"/>
      <c r="Y25" s="68"/>
      <c r="Z25" s="68"/>
    </row>
    <row r="26" spans="1:26">
      <c r="A26" s="185" t="s">
        <v>63</v>
      </c>
      <c r="B26" s="185"/>
      <c r="C26" s="185"/>
      <c r="D26" s="185"/>
      <c r="E26" s="185"/>
      <c r="F26" s="185"/>
      <c r="G26" s="68"/>
      <c r="H26" s="68"/>
      <c r="I26" s="68"/>
      <c r="J26" s="68"/>
      <c r="K26" s="68"/>
      <c r="L26" s="68"/>
      <c r="M26" s="68"/>
      <c r="N26" s="71">
        <v>20</v>
      </c>
      <c r="O26" s="75">
        <f>'DAILY REGESTER'!A23</f>
        <v>45920</v>
      </c>
      <c r="P26" s="63" t="s">
        <v>107</v>
      </c>
      <c r="Q26" s="74">
        <f>'DAILY REGESTER'!V23</f>
        <v>12.3</v>
      </c>
      <c r="R26" s="63">
        <v>30</v>
      </c>
      <c r="S26" s="119">
        <f t="shared" si="1"/>
        <v>369</v>
      </c>
      <c r="T26" s="68"/>
      <c r="U26" s="68"/>
      <c r="V26" s="68"/>
      <c r="W26" s="68"/>
      <c r="X26" s="68"/>
      <c r="Y26" s="68"/>
      <c r="Z26" s="68"/>
    </row>
    <row r="27" spans="1:26">
      <c r="A27" s="66" t="s">
        <v>47</v>
      </c>
      <c r="B27" s="66" t="s">
        <v>43</v>
      </c>
      <c r="C27" s="66" t="s">
        <v>65</v>
      </c>
      <c r="D27" s="66"/>
      <c r="E27" s="66" t="s">
        <v>45</v>
      </c>
      <c r="F27" s="66" t="s">
        <v>46</v>
      </c>
      <c r="G27" s="68"/>
      <c r="H27" s="68"/>
      <c r="I27" s="68"/>
      <c r="J27" s="68"/>
      <c r="K27" s="68"/>
      <c r="L27" s="68"/>
      <c r="M27" s="68"/>
      <c r="N27" s="71">
        <v>21</v>
      </c>
      <c r="O27" s="75">
        <f>'DAILY REGESTER'!A24</f>
        <v>45921</v>
      </c>
      <c r="P27" s="63" t="s">
        <v>111</v>
      </c>
      <c r="Q27" s="74">
        <f>'DAILY REGESTER'!V24</f>
        <v>10.8</v>
      </c>
      <c r="R27" s="63">
        <v>30</v>
      </c>
      <c r="S27" s="119">
        <f t="shared" si="1"/>
        <v>324</v>
      </c>
      <c r="T27" s="68"/>
      <c r="U27" s="187" t="s">
        <v>70</v>
      </c>
      <c r="V27" s="187"/>
      <c r="W27" s="187"/>
      <c r="X27" s="68"/>
      <c r="Y27" s="68"/>
      <c r="Z27" s="68"/>
    </row>
    <row r="28" spans="1:26">
      <c r="A28" s="71">
        <v>1</v>
      </c>
      <c r="B28" s="71" t="s">
        <v>64</v>
      </c>
      <c r="C28" s="72">
        <f>'DAILY REGESTER'!H35</f>
        <v>239.9</v>
      </c>
      <c r="D28" s="72"/>
      <c r="E28" s="64">
        <v>3</v>
      </c>
      <c r="F28" s="72">
        <f>C28*E28</f>
        <v>719.7</v>
      </c>
      <c r="G28" s="68"/>
      <c r="H28" s="68"/>
      <c r="I28" s="68"/>
      <c r="J28" s="68"/>
      <c r="K28" s="68"/>
      <c r="L28" s="68"/>
      <c r="M28" s="68"/>
      <c r="N28" s="71">
        <v>22</v>
      </c>
      <c r="O28" s="75">
        <f>'DAILY REGESTER'!A25</f>
        <v>45922</v>
      </c>
      <c r="P28" s="63" t="s">
        <v>112</v>
      </c>
      <c r="Q28" s="74">
        <f>'DAILY REGESTER'!V25</f>
        <v>10.100000000000001</v>
      </c>
      <c r="R28" s="63">
        <v>30</v>
      </c>
      <c r="S28" s="119">
        <f t="shared" si="1"/>
        <v>303.00000000000006</v>
      </c>
      <c r="T28" s="68"/>
      <c r="U28" s="188" t="s">
        <v>71</v>
      </c>
      <c r="V28" s="188"/>
      <c r="W28" s="83">
        <f>Sheet2!H10</f>
        <v>26496</v>
      </c>
      <c r="X28" s="68"/>
      <c r="Y28" s="68"/>
      <c r="Z28" s="68"/>
    </row>
    <row r="29" spans="1:26">
      <c r="A29" s="71">
        <v>2</v>
      </c>
      <c r="B29" s="71"/>
      <c r="C29" s="71"/>
      <c r="D29" s="71"/>
      <c r="E29" s="71"/>
      <c r="F29" s="72"/>
      <c r="G29" s="68"/>
      <c r="H29" s="68"/>
      <c r="I29" s="68"/>
      <c r="J29" s="68"/>
      <c r="K29" s="68"/>
      <c r="L29" s="68"/>
      <c r="M29" s="68"/>
      <c r="N29" s="71">
        <v>23</v>
      </c>
      <c r="O29" s="75">
        <f>'DAILY REGESTER'!A26</f>
        <v>45923</v>
      </c>
      <c r="P29" s="63" t="s">
        <v>106</v>
      </c>
      <c r="Q29" s="74">
        <f>'DAILY REGESTER'!V26</f>
        <v>10.100000000000001</v>
      </c>
      <c r="R29" s="63">
        <v>30</v>
      </c>
      <c r="S29" s="119">
        <f t="shared" si="1"/>
        <v>303.00000000000006</v>
      </c>
      <c r="T29" s="68"/>
      <c r="U29" s="189" t="s">
        <v>72</v>
      </c>
      <c r="V29" s="189"/>
      <c r="W29" s="83">
        <f>V20</f>
        <v>26496</v>
      </c>
      <c r="X29" s="68"/>
      <c r="Y29" s="68"/>
      <c r="Z29" s="68"/>
    </row>
    <row r="30" spans="1:26">
      <c r="A30" s="71">
        <v>3</v>
      </c>
      <c r="B30" s="71"/>
      <c r="C30" s="71"/>
      <c r="D30" s="71"/>
      <c r="E30" s="71"/>
      <c r="F30" s="72"/>
      <c r="G30" s="68"/>
      <c r="H30" s="68"/>
      <c r="I30" s="68"/>
      <c r="J30" s="68"/>
      <c r="K30" s="68"/>
      <c r="L30" s="68"/>
      <c r="M30" s="68"/>
      <c r="N30" s="71">
        <v>24</v>
      </c>
      <c r="O30" s="75">
        <f>'DAILY REGESTER'!A27</f>
        <v>45924</v>
      </c>
      <c r="P30" s="63"/>
      <c r="Q30" s="74">
        <f>'DAILY REGESTER'!V27</f>
        <v>0</v>
      </c>
      <c r="R30" s="63">
        <v>40</v>
      </c>
      <c r="S30" s="119">
        <f t="shared" si="1"/>
        <v>0</v>
      </c>
      <c r="T30" s="68"/>
      <c r="U30" s="190" t="s">
        <v>70</v>
      </c>
      <c r="V30" s="190"/>
      <c r="W30" s="84">
        <f>W28-W29</f>
        <v>0</v>
      </c>
      <c r="X30" s="68"/>
      <c r="Y30" s="68"/>
      <c r="Z30" s="68"/>
    </row>
    <row r="31" spans="1:26">
      <c r="A31" s="71">
        <v>4</v>
      </c>
      <c r="B31" s="186" t="s">
        <v>35</v>
      </c>
      <c r="C31" s="186"/>
      <c r="D31" s="186"/>
      <c r="E31" s="186"/>
      <c r="F31" s="85">
        <f>SUM(F28:F29)</f>
        <v>719.7</v>
      </c>
      <c r="G31" s="68"/>
      <c r="H31" s="68"/>
      <c r="I31" s="68"/>
      <c r="J31" s="68"/>
      <c r="K31" s="68"/>
      <c r="L31" s="68"/>
      <c r="M31" s="68"/>
      <c r="N31" s="71">
        <v>25</v>
      </c>
      <c r="O31" s="75">
        <f>'DAILY REGESTER'!A28</f>
        <v>45925</v>
      </c>
      <c r="P31" s="63"/>
      <c r="Q31" s="74">
        <f>'DAILY REGESTER'!V28</f>
        <v>0</v>
      </c>
      <c r="R31" s="63">
        <v>30</v>
      </c>
      <c r="S31" s="119">
        <f t="shared" si="1"/>
        <v>0</v>
      </c>
      <c r="T31" s="68"/>
      <c r="U31" s="86"/>
      <c r="V31" s="86"/>
      <c r="W31" s="68"/>
      <c r="X31" s="68"/>
      <c r="Y31" s="68"/>
      <c r="Z31" s="68"/>
    </row>
    <row r="32" spans="1:26">
      <c r="A32" s="185" t="s">
        <v>86</v>
      </c>
      <c r="B32" s="185"/>
      <c r="C32" s="185"/>
      <c r="D32" s="185"/>
      <c r="E32" s="185"/>
      <c r="F32" s="185"/>
      <c r="G32" s="68"/>
      <c r="H32" s="68"/>
      <c r="I32" s="68"/>
      <c r="J32" s="68"/>
      <c r="K32" s="68"/>
      <c r="L32" s="68"/>
      <c r="M32" s="68"/>
      <c r="N32" s="71">
        <v>26</v>
      </c>
      <c r="O32" s="75">
        <f>'DAILY REGESTER'!A29</f>
        <v>45926</v>
      </c>
      <c r="P32" s="63"/>
      <c r="Q32" s="74">
        <f>'DAILY REGESTER'!V29</f>
        <v>0</v>
      </c>
      <c r="R32" s="63">
        <v>30</v>
      </c>
      <c r="S32" s="119">
        <f t="shared" si="1"/>
        <v>0</v>
      </c>
      <c r="T32" s="68"/>
      <c r="U32" s="191" t="s">
        <v>74</v>
      </c>
      <c r="V32" s="191"/>
      <c r="W32" s="191"/>
      <c r="X32" s="88"/>
      <c r="Y32" s="68"/>
      <c r="Z32" s="68"/>
    </row>
    <row r="33" spans="1:26">
      <c r="A33" s="66" t="s">
        <v>47</v>
      </c>
      <c r="B33" s="66" t="s">
        <v>43</v>
      </c>
      <c r="C33" s="66" t="s">
        <v>65</v>
      </c>
      <c r="D33" s="66"/>
      <c r="E33" s="66" t="s">
        <v>45</v>
      </c>
      <c r="F33" s="66" t="s">
        <v>46</v>
      </c>
      <c r="G33" s="68"/>
      <c r="H33" s="68"/>
      <c r="I33" s="68"/>
      <c r="J33" s="68"/>
      <c r="K33" s="68"/>
      <c r="L33" s="68"/>
      <c r="M33" s="68"/>
      <c r="N33" s="71">
        <v>27</v>
      </c>
      <c r="O33" s="75">
        <f>'DAILY REGESTER'!A30</f>
        <v>45927</v>
      </c>
      <c r="P33" s="63" t="s">
        <v>109</v>
      </c>
      <c r="Q33" s="74">
        <f>'DAILY REGESTER'!V30</f>
        <v>6.5</v>
      </c>
      <c r="R33" s="63">
        <v>40</v>
      </c>
      <c r="S33" s="119">
        <f t="shared" si="1"/>
        <v>260</v>
      </c>
      <c r="T33" s="68"/>
      <c r="U33" s="87" t="s">
        <v>75</v>
      </c>
      <c r="V33" s="192">
        <f>F18</f>
        <v>15139</v>
      </c>
      <c r="W33" s="192"/>
      <c r="X33" s="88"/>
      <c r="Y33" s="68"/>
      <c r="Z33" s="68"/>
    </row>
    <row r="34" spans="1:26">
      <c r="A34" s="71">
        <v>1</v>
      </c>
      <c r="B34" s="71" t="s">
        <v>87</v>
      </c>
      <c r="C34" s="85">
        <f>MIN('DATA ENTRY'!G17*10/1000,'ASTMITED BILL'!W25/'ASTMITED BILL'!E34)</f>
        <v>29.46</v>
      </c>
      <c r="D34" s="72">
        <v>20</v>
      </c>
      <c r="E34" s="64">
        <v>30</v>
      </c>
      <c r="F34" s="72">
        <f>(C34*E34)</f>
        <v>883.80000000000007</v>
      </c>
      <c r="G34" s="68"/>
      <c r="H34" s="68"/>
      <c r="I34" s="68"/>
      <c r="J34" s="68"/>
      <c r="K34" s="68"/>
      <c r="L34" s="68"/>
      <c r="M34" s="68"/>
      <c r="N34" s="71">
        <v>28</v>
      </c>
      <c r="O34" s="75">
        <f>'DAILY REGESTER'!A31</f>
        <v>45928</v>
      </c>
      <c r="P34" s="63" t="s">
        <v>113</v>
      </c>
      <c r="Q34" s="74">
        <f>'DAILY REGESTER'!V31</f>
        <v>10.5</v>
      </c>
      <c r="R34" s="63">
        <v>30</v>
      </c>
      <c r="S34" s="119">
        <f t="shared" si="1"/>
        <v>315</v>
      </c>
      <c r="T34" s="68"/>
      <c r="U34" s="87" t="s">
        <v>66</v>
      </c>
      <c r="V34" s="192">
        <f>Z12</f>
        <v>1161</v>
      </c>
      <c r="W34" s="192"/>
      <c r="X34" s="88"/>
      <c r="Y34" s="68"/>
      <c r="Z34" s="68"/>
    </row>
    <row r="35" spans="1:26">
      <c r="A35" s="71">
        <v>2</v>
      </c>
      <c r="B35" s="71" t="s">
        <v>88</v>
      </c>
      <c r="C35" s="72">
        <f>MIN('DATA ENTRY'!G17*2/10,'ASTMITED BILL'!W25-'ASTMITED BILL'!F34)/'ASTMITED BILL'!E35</f>
        <v>1.009999999999992</v>
      </c>
      <c r="D35" s="72"/>
      <c r="E35" s="64">
        <v>100</v>
      </c>
      <c r="F35" s="72">
        <f>(C35*E35)</f>
        <v>100.9999999999992</v>
      </c>
      <c r="G35" s="68"/>
      <c r="H35" s="68"/>
      <c r="I35" s="68"/>
      <c r="J35" s="68"/>
      <c r="K35" s="68"/>
      <c r="L35" s="68"/>
      <c r="M35" s="68"/>
      <c r="N35" s="71">
        <v>29</v>
      </c>
      <c r="O35" s="75">
        <f>'DAILY REGESTER'!A32</f>
        <v>45929</v>
      </c>
      <c r="P35" s="63" t="s">
        <v>107</v>
      </c>
      <c r="Q35" s="74">
        <f>'DAILY REGESTER'!V32</f>
        <v>10.4</v>
      </c>
      <c r="R35" s="63">
        <v>30</v>
      </c>
      <c r="S35" s="119">
        <f t="shared" si="1"/>
        <v>312</v>
      </c>
      <c r="T35" s="68"/>
      <c r="U35" s="87" t="s">
        <v>67</v>
      </c>
      <c r="V35" s="192">
        <f>S38</f>
        <v>6261.5</v>
      </c>
      <c r="W35" s="192"/>
      <c r="X35" s="88"/>
      <c r="Y35" s="68"/>
      <c r="Z35" s="68"/>
    </row>
    <row r="36" spans="1:26">
      <c r="A36" s="71">
        <v>3</v>
      </c>
      <c r="B36" s="71"/>
      <c r="C36" s="71"/>
      <c r="D36" s="71"/>
      <c r="E36" s="71"/>
      <c r="F36" s="72"/>
      <c r="G36" s="68"/>
      <c r="H36" s="68"/>
      <c r="I36" s="68"/>
      <c r="J36" s="68"/>
      <c r="K36" s="68"/>
      <c r="L36" s="68"/>
      <c r="M36" s="68"/>
      <c r="N36" s="71">
        <v>30</v>
      </c>
      <c r="O36" s="75">
        <f>'DAILY REGESTER'!A33</f>
        <v>45930</v>
      </c>
      <c r="P36" s="63"/>
      <c r="Q36" s="74">
        <f>'DAILY REGESTER'!V33</f>
        <v>0</v>
      </c>
      <c r="R36" s="63">
        <v>30</v>
      </c>
      <c r="S36" s="119">
        <f t="shared" si="1"/>
        <v>0</v>
      </c>
      <c r="T36" s="68"/>
      <c r="U36" s="87" t="s">
        <v>68</v>
      </c>
      <c r="V36" s="192">
        <f>F24</f>
        <v>2230</v>
      </c>
      <c r="W36" s="192"/>
      <c r="X36" s="88"/>
      <c r="Y36" s="68"/>
      <c r="Z36" s="68"/>
    </row>
    <row r="37" spans="1:26">
      <c r="A37" s="71">
        <v>4</v>
      </c>
      <c r="B37" s="186" t="s">
        <v>35</v>
      </c>
      <c r="C37" s="186"/>
      <c r="D37" s="186"/>
      <c r="E37" s="186"/>
      <c r="F37" s="85">
        <f>SUM(F34:F35)</f>
        <v>984.79999999999927</v>
      </c>
      <c r="G37" s="68"/>
      <c r="H37" s="68"/>
      <c r="I37" s="68"/>
      <c r="J37" s="68"/>
      <c r="K37" s="68"/>
      <c r="L37" s="68"/>
      <c r="M37" s="68"/>
      <c r="N37" s="71">
        <v>31</v>
      </c>
      <c r="O37" s="75">
        <f>'DAILY REGESTER'!A34</f>
        <v>45931</v>
      </c>
      <c r="P37" s="63"/>
      <c r="Q37" s="74">
        <f>'DAILY REGESTER'!V34</f>
        <v>0</v>
      </c>
      <c r="R37" s="63">
        <v>30</v>
      </c>
      <c r="S37" s="119">
        <f t="shared" si="1"/>
        <v>0</v>
      </c>
      <c r="T37" s="68"/>
      <c r="U37" s="87" t="s">
        <v>69</v>
      </c>
      <c r="V37" s="192">
        <f>F31</f>
        <v>719.7</v>
      </c>
      <c r="W37" s="192"/>
      <c r="X37" s="89"/>
      <c r="Y37" s="68"/>
      <c r="Z37" s="68"/>
    </row>
    <row r="38" spans="1:26" ht="26.2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6">
        <v>32</v>
      </c>
      <c r="O38" s="76" t="str">
        <f>'DAILY REGESTER'!A35</f>
        <v xml:space="preserve">कुल योग </v>
      </c>
      <c r="P38" s="66"/>
      <c r="Q38" s="90">
        <f>'DAILY REGESTER'!V35</f>
        <v>195.4</v>
      </c>
      <c r="R38" s="66"/>
      <c r="S38" s="120">
        <f>SUM(S7:S37)</f>
        <v>6261.5</v>
      </c>
      <c r="T38" s="68"/>
      <c r="U38" s="87" t="s">
        <v>35</v>
      </c>
      <c r="V38" s="192">
        <f>SUM(V33:W37)</f>
        <v>25511.200000000001</v>
      </c>
      <c r="W38" s="192"/>
      <c r="X38" s="88"/>
      <c r="Y38" s="68"/>
      <c r="Z38" s="68"/>
    </row>
  </sheetData>
  <sheetProtection algorithmName="SHA-512" hashValue="5UFF6+bBY2Ffu5Ym/aBU3JpheVH0obLUcnzxKRLxSICA1BbEySGmSmxUhWMTS1JTFPI+C+ihfjeF9m5ktB2CRQ==" saltValue="VlynPPiO6udlUYGpL3nnLA==" spinCount="100000" sheet="1" objects="1" scenarios="1"/>
  <mergeCells count="33">
    <mergeCell ref="V38:W38"/>
    <mergeCell ref="U5:Z5"/>
    <mergeCell ref="V12:Y12"/>
    <mergeCell ref="A26:F26"/>
    <mergeCell ref="V14:W14"/>
    <mergeCell ref="V15:W15"/>
    <mergeCell ref="V16:W16"/>
    <mergeCell ref="V17:W17"/>
    <mergeCell ref="V18:W18"/>
    <mergeCell ref="V19:W19"/>
    <mergeCell ref="V20:W20"/>
    <mergeCell ref="U25:V25"/>
    <mergeCell ref="V33:W33"/>
    <mergeCell ref="V34:W34"/>
    <mergeCell ref="U13:W13"/>
    <mergeCell ref="A5:F5"/>
    <mergeCell ref="A19:F19"/>
    <mergeCell ref="B24:E24"/>
    <mergeCell ref="N5:S5"/>
    <mergeCell ref="U22:W22"/>
    <mergeCell ref="U23:V23"/>
    <mergeCell ref="U24:V24"/>
    <mergeCell ref="A32:F32"/>
    <mergeCell ref="B37:E37"/>
    <mergeCell ref="U27:W27"/>
    <mergeCell ref="U28:V28"/>
    <mergeCell ref="U29:V29"/>
    <mergeCell ref="U30:V30"/>
    <mergeCell ref="B31:E31"/>
    <mergeCell ref="U32:W32"/>
    <mergeCell ref="V35:W35"/>
    <mergeCell ref="V36:W36"/>
    <mergeCell ref="V37:W37"/>
  </mergeCells>
  <conditionalFormatting sqref="U25:W25">
    <cfRule type="expression" dxfId="3" priority="3">
      <formula>$W$25&gt;0</formula>
    </cfRule>
    <cfRule type="expression" dxfId="2" priority="4">
      <formula>$W$25&lt;0</formula>
    </cfRule>
  </conditionalFormatting>
  <conditionalFormatting sqref="U30:W30">
    <cfRule type="expression" dxfId="1" priority="1">
      <formula>$W$25&gt;0</formula>
    </cfRule>
    <cfRule type="expression" dxfId="0" priority="2">
      <formula>$W$25&lt;0</formula>
    </cfRule>
  </conditionalFormatting>
  <printOptions horizontalCentered="1"/>
  <pageMargins left="0.25" right="0.25" top="0.75" bottom="0.75" header="0.3" footer="0.3"/>
  <pageSetup paperSize="9" scale="110" orientation="portrait" r:id="rId1"/>
  <colBreaks count="2" manualBreakCount="2">
    <brk id="7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GUIDANCE</vt:lpstr>
      <vt:lpstr>DATA ENTRY</vt:lpstr>
      <vt:lpstr>DAILY REGESTER</vt:lpstr>
      <vt:lpstr>Sheet2</vt:lpstr>
      <vt:lpstr>ASTMITED BILL</vt:lpstr>
      <vt:lpstr>'ASTMITED BILL'!Print_Area</vt:lpstr>
      <vt:lpstr>'DAILY REGESTER'!Print_Area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abc</cp:lastModifiedBy>
  <cp:lastPrinted>2026-02-19T06:33:42Z</cp:lastPrinted>
  <dcterms:created xsi:type="dcterms:W3CDTF">2024-09-24T03:43:27Z</dcterms:created>
  <dcterms:modified xsi:type="dcterms:W3CDTF">2026-02-19T15:44:46Z</dcterms:modified>
</cp:coreProperties>
</file>