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105" windowWidth="20115" windowHeight="8010" tabRatio="928"/>
  </bookViews>
  <sheets>
    <sheet name="Help" sheetId="9" r:id="rId1"/>
    <sheet name="School Info" sheetId="3" r:id="rId2"/>
    <sheet name="Namankan" sheetId="17" r:id="rId3"/>
    <sheet name="Food-Data Entry" sheetId="4" r:id="rId4"/>
    <sheet name="MIlk-Data Entry" sheetId="14" r:id="rId5"/>
    <sheet name="MPR" sheetId="6" r:id="rId6"/>
    <sheet name="Upyogita Praman-Patra" sheetId="7" r:id="rId7"/>
    <sheet name="Food Stock 1-8" sheetId="12" r:id="rId8"/>
    <sheet name="Milk Stock &amp; Distri.Register" sheetId="10" r:id="rId9"/>
    <sheet name="Milk Quality Register" sheetId="15" r:id="rId10"/>
    <sheet name="Bill" sheetId="16" r:id="rId11"/>
  </sheets>
  <definedNames>
    <definedName name="_xlnm._FilterDatabase" localSheetId="7" hidden="1">'Food Stock 1-8'!$B$2:$Z$40</definedName>
    <definedName name="_xlnm._FilterDatabase" localSheetId="9" hidden="1">'Milk Quality Register'!$C$2:$AL$38</definedName>
    <definedName name="_xlnm._FilterDatabase" localSheetId="8" hidden="1">'Milk Stock &amp; Distri.Register'!$C$2:$AN$75</definedName>
    <definedName name="_xlnm.Print_Area" localSheetId="10">Bill!$O$1:$AO$31</definedName>
    <definedName name="_xlnm.Print_Area" localSheetId="7">'Food Stock 1-8'!$B$2:$Z$40,'Food Stock 1-8'!$B$43:$Z$81,'Food Stock 1-8'!$B$84:$Z$122</definedName>
    <definedName name="_xlnm.Print_Area" localSheetId="3">'Food-Data Entry'!#REF!,'Food-Data Entry'!#REF!</definedName>
    <definedName name="_xlnm.Print_Area" localSheetId="9">'Milk Quality Register'!$C$2:$AL$40</definedName>
    <definedName name="_xlnm.Print_Area" localSheetId="8">'Milk Stock &amp; Distri.Register'!$C$2:$AN$88</definedName>
    <definedName name="_xlnm.Print_Area" localSheetId="4">'MIlk-Data Entry'!#REF!,'MIlk-Data Entry'!#REF!</definedName>
    <definedName name="_xlnm.Print_Area" localSheetId="5">MPR!$B$2:$O$65</definedName>
    <definedName name="_xlnm.Print_Area" localSheetId="6">'Upyogita Praman-Patra'!$D$2:$O$55</definedName>
    <definedName name="_xlnm.Print_Titles" localSheetId="8">'Milk Stock &amp; Distri.Register'!$6:$8</definedName>
  </definedNames>
  <calcPr calcId="124519" concurrentCalc="0"/>
</workbook>
</file>

<file path=xl/calcChain.xml><?xml version="1.0" encoding="utf-8"?>
<calcChain xmlns="http://schemas.openxmlformats.org/spreadsheetml/2006/main">
  <c r="AA7" i="14"/>
  <c r="Z7"/>
  <c r="Y7"/>
  <c r="Q8"/>
  <c r="Q9"/>
  <c r="Q10"/>
  <c r="Q11"/>
  <c r="Q12"/>
  <c r="Q13"/>
  <c r="Q14"/>
  <c r="Q15"/>
  <c r="Q16"/>
  <c r="Q17"/>
  <c r="Q18"/>
  <c r="Q19"/>
  <c r="Q20"/>
  <c r="Q21"/>
  <c r="Q22"/>
  <c r="Q23"/>
  <c r="Q24"/>
  <c r="Q25"/>
  <c r="Q26"/>
  <c r="Q27"/>
  <c r="Q28"/>
  <c r="Q29"/>
  <c r="Q30"/>
  <c r="Q31"/>
  <c r="Q32"/>
  <c r="Q33"/>
  <c r="Q34"/>
  <c r="Q35"/>
  <c r="Q36"/>
  <c r="Q37"/>
  <c r="Q7"/>
  <c r="R8"/>
  <c r="R9"/>
  <c r="R10"/>
  <c r="R11"/>
  <c r="R12"/>
  <c r="R13"/>
  <c r="R14"/>
  <c r="R15"/>
  <c r="R16"/>
  <c r="R17"/>
  <c r="R18"/>
  <c r="R19"/>
  <c r="R20"/>
  <c r="R21"/>
  <c r="R22"/>
  <c r="R23"/>
  <c r="R24"/>
  <c r="R25"/>
  <c r="R26"/>
  <c r="R27"/>
  <c r="R28"/>
  <c r="R29"/>
  <c r="R30"/>
  <c r="R31"/>
  <c r="R32"/>
  <c r="R33"/>
  <c r="R34"/>
  <c r="R35"/>
  <c r="R36"/>
  <c r="R37"/>
  <c r="R7"/>
  <c r="K23" i="6" l="1"/>
  <c r="E23"/>
  <c r="Q8" i="4"/>
  <c r="Q9"/>
  <c r="Q10"/>
  <c r="Q11"/>
  <c r="Q12"/>
  <c r="Q13"/>
  <c r="Q14"/>
  <c r="Q15"/>
  <c r="Q16"/>
  <c r="Q17"/>
  <c r="Q18"/>
  <c r="Q19"/>
  <c r="Q20"/>
  <c r="Q21"/>
  <c r="Q22"/>
  <c r="Q23"/>
  <c r="Q24"/>
  <c r="Q25"/>
  <c r="Q26"/>
  <c r="Q27"/>
  <c r="Q28"/>
  <c r="Q29"/>
  <c r="Q30"/>
  <c r="Q31"/>
  <c r="Q32"/>
  <c r="Q33"/>
  <c r="Q34"/>
  <c r="Q35"/>
  <c r="Q36"/>
  <c r="Q37"/>
  <c r="Q7"/>
  <c r="P8"/>
  <c r="P9"/>
  <c r="P10"/>
  <c r="P11"/>
  <c r="P12"/>
  <c r="P13"/>
  <c r="P14"/>
  <c r="P15"/>
  <c r="P16"/>
  <c r="P17"/>
  <c r="P18"/>
  <c r="P19"/>
  <c r="P20"/>
  <c r="P21"/>
  <c r="P22"/>
  <c r="P23"/>
  <c r="P24"/>
  <c r="P25"/>
  <c r="P26"/>
  <c r="P27"/>
  <c r="P28"/>
  <c r="P29"/>
  <c r="P30"/>
  <c r="P31"/>
  <c r="P32"/>
  <c r="P33"/>
  <c r="P34"/>
  <c r="P35"/>
  <c r="P36"/>
  <c r="P37"/>
  <c r="P7"/>
  <c r="AR7"/>
  <c r="AR8"/>
  <c r="AR9"/>
  <c r="AR10"/>
  <c r="AR11"/>
  <c r="AR12"/>
  <c r="AR13"/>
  <c r="AR14"/>
  <c r="AR15"/>
  <c r="AR16"/>
  <c r="AR17"/>
  <c r="AR18"/>
  <c r="AR19"/>
  <c r="AR20"/>
  <c r="AR21"/>
  <c r="AR22"/>
  <c r="AR23"/>
  <c r="AR24"/>
  <c r="AR25"/>
  <c r="AR26"/>
  <c r="AR27"/>
  <c r="AR28"/>
  <c r="AR29"/>
  <c r="AR30"/>
  <c r="AR31"/>
  <c r="AR32"/>
  <c r="AR33"/>
  <c r="AR34"/>
  <c r="AR35"/>
  <c r="AR36"/>
  <c r="AR37"/>
  <c r="AR38"/>
  <c r="Q2" i="6"/>
  <c r="G12" i="14"/>
  <c r="J4"/>
  <c r="E4"/>
  <c r="L9" i="4"/>
  <c r="L10"/>
  <c r="L11"/>
  <c r="L12"/>
  <c r="L13"/>
  <c r="L14"/>
  <c r="L15"/>
  <c r="L16"/>
  <c r="L17"/>
  <c r="L18"/>
  <c r="L19"/>
  <c r="L20"/>
  <c r="L21"/>
  <c r="L22"/>
  <c r="L23"/>
  <c r="L24"/>
  <c r="L25"/>
  <c r="L26"/>
  <c r="L27"/>
  <c r="L28"/>
  <c r="L29"/>
  <c r="L30"/>
  <c r="L31"/>
  <c r="L32"/>
  <c r="L33"/>
  <c r="L34"/>
  <c r="W7" i="3" s="1"/>
  <c r="L35" i="4"/>
  <c r="L36"/>
  <c r="L37"/>
  <c r="L8"/>
  <c r="L7"/>
  <c r="G11" i="14"/>
  <c r="AC9" i="4"/>
  <c r="AC10"/>
  <c r="AC11"/>
  <c r="AC12"/>
  <c r="AC13"/>
  <c r="AC14"/>
  <c r="AC15"/>
  <c r="AC16"/>
  <c r="AC17"/>
  <c r="AC18"/>
  <c r="AC19"/>
  <c r="AC20"/>
  <c r="AC21"/>
  <c r="AC22"/>
  <c r="AC23"/>
  <c r="AC24"/>
  <c r="AC25"/>
  <c r="AC26"/>
  <c r="AC27"/>
  <c r="AC28"/>
  <c r="AC29"/>
  <c r="AC30"/>
  <c r="AC31"/>
  <c r="AC32"/>
  <c r="AC33"/>
  <c r="AC34"/>
  <c r="AC35"/>
  <c r="AC36"/>
  <c r="AC37"/>
  <c r="Z9"/>
  <c r="Z10"/>
  <c r="Z11"/>
  <c r="Z12"/>
  <c r="Z13"/>
  <c r="Z14"/>
  <c r="Z15"/>
  <c r="Z16"/>
  <c r="Z17"/>
  <c r="Z18"/>
  <c r="Z19"/>
  <c r="Z20"/>
  <c r="Z21"/>
  <c r="Z22"/>
  <c r="Z23"/>
  <c r="Z24"/>
  <c r="Z25"/>
  <c r="Z26"/>
  <c r="Z27"/>
  <c r="Z28"/>
  <c r="Z29"/>
  <c r="Z30"/>
  <c r="Z31"/>
  <c r="Z32"/>
  <c r="Z33"/>
  <c r="Z34"/>
  <c r="Z35"/>
  <c r="Z36"/>
  <c r="Z37"/>
  <c r="AD38"/>
  <c r="E4"/>
  <c r="J4"/>
  <c r="E8" i="9"/>
  <c r="E6"/>
  <c r="AN4" i="10"/>
  <c r="AL4" i="15" s="1"/>
  <c r="AN3" i="10"/>
  <c r="AL3" i="15" s="1"/>
  <c r="AL4" i="10"/>
  <c r="AJ4" i="15" s="1"/>
  <c r="AL3" i="10"/>
  <c r="AJ3" i="15" s="1"/>
  <c r="N5"/>
  <c r="B2" i="4" l="1"/>
  <c r="B2" i="14" s="1"/>
  <c r="B2" i="12"/>
  <c r="N3" i="10" s="1"/>
  <c r="N4" i="15"/>
  <c r="B41" i="6"/>
  <c r="K34"/>
  <c r="D32"/>
  <c r="I32"/>
  <c r="D35"/>
  <c r="R23" i="7"/>
  <c r="R24"/>
  <c r="R25"/>
  <c r="R26"/>
  <c r="R27"/>
  <c r="R22"/>
  <c r="Q23"/>
  <c r="Q24"/>
  <c r="Q25"/>
  <c r="Q26"/>
  <c r="Q27"/>
  <c r="Q22"/>
  <c r="AL5" i="15"/>
  <c r="AJ5"/>
  <c r="N27"/>
  <c r="N31"/>
  <c r="N35"/>
  <c r="K27"/>
  <c r="K28"/>
  <c r="K29"/>
  <c r="K30"/>
  <c r="K31"/>
  <c r="K32"/>
  <c r="K33"/>
  <c r="K34"/>
  <c r="K35"/>
  <c r="H26"/>
  <c r="H27"/>
  <c r="H28"/>
  <c r="N28" s="1"/>
  <c r="H29"/>
  <c r="N29" s="1"/>
  <c r="H30"/>
  <c r="N30" s="1"/>
  <c r="H31"/>
  <c r="H32"/>
  <c r="N32" s="1"/>
  <c r="H33"/>
  <c r="N33" s="1"/>
  <c r="H34"/>
  <c r="N34" s="1"/>
  <c r="H35"/>
  <c r="B34"/>
  <c r="B35"/>
  <c r="AN37"/>
  <c r="AN36"/>
  <c r="AN35"/>
  <c r="AN34"/>
  <c r="AN33"/>
  <c r="B33"/>
  <c r="B15"/>
  <c r="B16"/>
  <c r="B17"/>
  <c r="B18"/>
  <c r="B19"/>
  <c r="B20"/>
  <c r="B21"/>
  <c r="B22"/>
  <c r="B23"/>
  <c r="B24"/>
  <c r="B25"/>
  <c r="B26"/>
  <c r="B27"/>
  <c r="B28"/>
  <c r="B29"/>
  <c r="B30"/>
  <c r="B31"/>
  <c r="B32"/>
  <c r="AN32"/>
  <c r="AN31"/>
  <c r="AN30"/>
  <c r="AN29"/>
  <c r="AN28"/>
  <c r="AN27"/>
  <c r="AN26"/>
  <c r="K26"/>
  <c r="N26" s="1"/>
  <c r="AN25"/>
  <c r="K25"/>
  <c r="H25"/>
  <c r="AN24"/>
  <c r="K24"/>
  <c r="H24"/>
  <c r="N24" s="1"/>
  <c r="AN23"/>
  <c r="K23"/>
  <c r="H23"/>
  <c r="N23" s="1"/>
  <c r="AN22"/>
  <c r="K22"/>
  <c r="H22"/>
  <c r="AN21"/>
  <c r="K21"/>
  <c r="H21"/>
  <c r="AN20"/>
  <c r="K20"/>
  <c r="N20" s="1"/>
  <c r="H20"/>
  <c r="AN19"/>
  <c r="K19"/>
  <c r="N19" s="1"/>
  <c r="H19"/>
  <c r="AN18"/>
  <c r="K18"/>
  <c r="H18"/>
  <c r="AN17"/>
  <c r="K17"/>
  <c r="H17"/>
  <c r="K15"/>
  <c r="K16"/>
  <c r="K13"/>
  <c r="K14"/>
  <c r="K11"/>
  <c r="K12"/>
  <c r="H15"/>
  <c r="H16"/>
  <c r="N16" s="1"/>
  <c r="H13"/>
  <c r="H14"/>
  <c r="H11"/>
  <c r="H9"/>
  <c r="K9"/>
  <c r="H10"/>
  <c r="K10"/>
  <c r="H12"/>
  <c r="N12" s="1"/>
  <c r="K5"/>
  <c r="J5"/>
  <c r="I5"/>
  <c r="G5"/>
  <c r="F5"/>
  <c r="E5"/>
  <c r="D5"/>
  <c r="C5"/>
  <c r="Z23" i="10"/>
  <c r="Z24"/>
  <c r="Z25"/>
  <c r="Z26"/>
  <c r="Z27"/>
  <c r="Z28"/>
  <c r="Z29"/>
  <c r="Z30"/>
  <c r="Z31"/>
  <c r="Z32"/>
  <c r="Z33"/>
  <c r="Z34"/>
  <c r="Z35"/>
  <c r="Z36"/>
  <c r="Z37"/>
  <c r="Z38"/>
  <c r="Z39"/>
  <c r="Z40"/>
  <c r="Z41"/>
  <c r="Z42"/>
  <c r="Z43"/>
  <c r="Z44"/>
  <c r="Z45"/>
  <c r="Z46"/>
  <c r="Z47"/>
  <c r="Z48"/>
  <c r="Z49"/>
  <c r="Z50"/>
  <c r="Z51"/>
  <c r="Z52"/>
  <c r="Z53"/>
  <c r="Z54"/>
  <c r="Z55"/>
  <c r="Z56"/>
  <c r="Z57"/>
  <c r="Z58"/>
  <c r="Z59"/>
  <c r="Z60"/>
  <c r="Z61"/>
  <c r="Z62"/>
  <c r="AJ76"/>
  <c r="AI76"/>
  <c r="AJ75"/>
  <c r="AI75"/>
  <c r="AD76"/>
  <c r="AC76"/>
  <c r="AD75"/>
  <c r="AC75"/>
  <c r="W73"/>
  <c r="V73"/>
  <c r="T73"/>
  <c r="S73"/>
  <c r="W8"/>
  <c r="W74" s="1"/>
  <c r="V8"/>
  <c r="V74" s="1"/>
  <c r="T8"/>
  <c r="T74" s="1"/>
  <c r="S8"/>
  <c r="S74" s="1"/>
  <c r="B61"/>
  <c r="B59"/>
  <c r="B57"/>
  <c r="B55"/>
  <c r="B53"/>
  <c r="B51"/>
  <c r="B49"/>
  <c r="B47"/>
  <c r="B45"/>
  <c r="B43"/>
  <c r="B41"/>
  <c r="B39"/>
  <c r="B37"/>
  <c r="B35"/>
  <c r="B33"/>
  <c r="B31"/>
  <c r="B29"/>
  <c r="B27"/>
  <c r="B25"/>
  <c r="B23"/>
  <c r="O9"/>
  <c r="P63"/>
  <c r="P61"/>
  <c r="P59"/>
  <c r="P57"/>
  <c r="P55"/>
  <c r="P53"/>
  <c r="P51"/>
  <c r="P49"/>
  <c r="P47"/>
  <c r="P45"/>
  <c r="P43"/>
  <c r="P41"/>
  <c r="P39"/>
  <c r="P37"/>
  <c r="P35"/>
  <c r="P33"/>
  <c r="P31"/>
  <c r="P29"/>
  <c r="P27"/>
  <c r="P25"/>
  <c r="P23"/>
  <c r="P21"/>
  <c r="P19"/>
  <c r="P17"/>
  <c r="P15"/>
  <c r="P13"/>
  <c r="P11"/>
  <c r="P9"/>
  <c r="O63"/>
  <c r="O61"/>
  <c r="O59"/>
  <c r="O57"/>
  <c r="O55"/>
  <c r="O53"/>
  <c r="O51"/>
  <c r="O49"/>
  <c r="O47"/>
  <c r="O45"/>
  <c r="O43"/>
  <c r="O41"/>
  <c r="O39"/>
  <c r="O37"/>
  <c r="O35"/>
  <c r="O33"/>
  <c r="O31"/>
  <c r="O29"/>
  <c r="O27"/>
  <c r="O25"/>
  <c r="O23"/>
  <c r="O21"/>
  <c r="O19"/>
  <c r="O17"/>
  <c r="O15"/>
  <c r="O13"/>
  <c r="O11"/>
  <c r="N63"/>
  <c r="N61"/>
  <c r="N59"/>
  <c r="N57"/>
  <c r="N55"/>
  <c r="N53"/>
  <c r="N51"/>
  <c r="N49"/>
  <c r="N47"/>
  <c r="N45"/>
  <c r="N43"/>
  <c r="N41"/>
  <c r="N39"/>
  <c r="N37"/>
  <c r="N35"/>
  <c r="N33"/>
  <c r="N31"/>
  <c r="N29"/>
  <c r="Q29" s="1"/>
  <c r="T29" s="1"/>
  <c r="AF30" s="1"/>
  <c r="N27"/>
  <c r="N25"/>
  <c r="N23"/>
  <c r="N21"/>
  <c r="N19"/>
  <c r="N17"/>
  <c r="N15"/>
  <c r="N13"/>
  <c r="N11"/>
  <c r="N9"/>
  <c r="L63"/>
  <c r="L61"/>
  <c r="L59"/>
  <c r="L57"/>
  <c r="L55"/>
  <c r="L53"/>
  <c r="L51"/>
  <c r="L49"/>
  <c r="L47"/>
  <c r="L45"/>
  <c r="L43"/>
  <c r="L41"/>
  <c r="L39"/>
  <c r="L37"/>
  <c r="L35"/>
  <c r="L33"/>
  <c r="L31"/>
  <c r="L29"/>
  <c r="L27"/>
  <c r="L25"/>
  <c r="L23"/>
  <c r="L21"/>
  <c r="L19"/>
  <c r="L17"/>
  <c r="L15"/>
  <c r="L13"/>
  <c r="L11"/>
  <c r="L9"/>
  <c r="K63"/>
  <c r="K61"/>
  <c r="K59"/>
  <c r="K57"/>
  <c r="K55"/>
  <c r="K53"/>
  <c r="K51"/>
  <c r="K49"/>
  <c r="K47"/>
  <c r="K45"/>
  <c r="K43"/>
  <c r="K41"/>
  <c r="K39"/>
  <c r="K37"/>
  <c r="K35"/>
  <c r="K33"/>
  <c r="K31"/>
  <c r="K29"/>
  <c r="K27"/>
  <c r="K25"/>
  <c r="K23"/>
  <c r="K21"/>
  <c r="K19"/>
  <c r="K17"/>
  <c r="K15"/>
  <c r="K13"/>
  <c r="K11"/>
  <c r="K9"/>
  <c r="J63"/>
  <c r="J61"/>
  <c r="J59"/>
  <c r="J57"/>
  <c r="J55"/>
  <c r="J53"/>
  <c r="J51"/>
  <c r="J49"/>
  <c r="J47"/>
  <c r="J45"/>
  <c r="J43"/>
  <c r="J41"/>
  <c r="J39"/>
  <c r="J37"/>
  <c r="J35"/>
  <c r="J33"/>
  <c r="J31"/>
  <c r="J29"/>
  <c r="J27"/>
  <c r="J25"/>
  <c r="J23"/>
  <c r="J21"/>
  <c r="J19"/>
  <c r="J17"/>
  <c r="J15"/>
  <c r="J13"/>
  <c r="J11"/>
  <c r="J9"/>
  <c r="I63"/>
  <c r="I61"/>
  <c r="I59"/>
  <c r="I57"/>
  <c r="I55"/>
  <c r="I53"/>
  <c r="I51"/>
  <c r="I49"/>
  <c r="I47"/>
  <c r="I45"/>
  <c r="I43"/>
  <c r="I41"/>
  <c r="I39"/>
  <c r="I37"/>
  <c r="I35"/>
  <c r="I33"/>
  <c r="I31"/>
  <c r="I29"/>
  <c r="I27"/>
  <c r="I25"/>
  <c r="I23"/>
  <c r="I21"/>
  <c r="I19"/>
  <c r="I17"/>
  <c r="I15"/>
  <c r="I13"/>
  <c r="I11"/>
  <c r="I9"/>
  <c r="H63"/>
  <c r="H61"/>
  <c r="H59"/>
  <c r="H57"/>
  <c r="H55"/>
  <c r="H53"/>
  <c r="H51"/>
  <c r="H49"/>
  <c r="H47"/>
  <c r="H45"/>
  <c r="H43"/>
  <c r="H41"/>
  <c r="H39"/>
  <c r="H37"/>
  <c r="H35"/>
  <c r="H33"/>
  <c r="H31"/>
  <c r="H29"/>
  <c r="H27"/>
  <c r="H25"/>
  <c r="H23"/>
  <c r="H21"/>
  <c r="H19"/>
  <c r="H17"/>
  <c r="H15"/>
  <c r="H13"/>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I64"/>
  <c r="AI63"/>
  <c r="AI62"/>
  <c r="AI61"/>
  <c r="AI60"/>
  <c r="AI59"/>
  <c r="AI58"/>
  <c r="AI57"/>
  <c r="AI56"/>
  <c r="AI55"/>
  <c r="AI54"/>
  <c r="AI53"/>
  <c r="AI52"/>
  <c r="AI51"/>
  <c r="AI50"/>
  <c r="AI49"/>
  <c r="AI48"/>
  <c r="AI47"/>
  <c r="AI46"/>
  <c r="AI45"/>
  <c r="AI44"/>
  <c r="AI43"/>
  <c r="AI42"/>
  <c r="AI41"/>
  <c r="AI40"/>
  <c r="AI39"/>
  <c r="AI38"/>
  <c r="AI37"/>
  <c r="AI36"/>
  <c r="AI35"/>
  <c r="AI34"/>
  <c r="AI33"/>
  <c r="AI32"/>
  <c r="AI31"/>
  <c r="AI30"/>
  <c r="AI29"/>
  <c r="AI28"/>
  <c r="AI27"/>
  <c r="AI26"/>
  <c r="AI25"/>
  <c r="AI24"/>
  <c r="AI23"/>
  <c r="AI22"/>
  <c r="AI21"/>
  <c r="AI20"/>
  <c r="AI19"/>
  <c r="AI18"/>
  <c r="AI17"/>
  <c r="AI16"/>
  <c r="AI15"/>
  <c r="AI14"/>
  <c r="AI13"/>
  <c r="AJ12"/>
  <c r="AI12"/>
  <c r="AJ11"/>
  <c r="AI11"/>
  <c r="AD64"/>
  <c r="AD63"/>
  <c r="AD62"/>
  <c r="AD61"/>
  <c r="AD60"/>
  <c r="AD59"/>
  <c r="AD58"/>
  <c r="AD57"/>
  <c r="AD56"/>
  <c r="AD55"/>
  <c r="AD54"/>
  <c r="AD53"/>
  <c r="AD52"/>
  <c r="AD51"/>
  <c r="AD50"/>
  <c r="AD49"/>
  <c r="AD48"/>
  <c r="AD47"/>
  <c r="AD46"/>
  <c r="AD45"/>
  <c r="AD44"/>
  <c r="AD43"/>
  <c r="AD42"/>
  <c r="AD41"/>
  <c r="AD40"/>
  <c r="AD39"/>
  <c r="AD38"/>
  <c r="AD37"/>
  <c r="AD36"/>
  <c r="AD35"/>
  <c r="AD34"/>
  <c r="AD33"/>
  <c r="AD32"/>
  <c r="AD31"/>
  <c r="AD30"/>
  <c r="AD29"/>
  <c r="AD28"/>
  <c r="AD27"/>
  <c r="AD26"/>
  <c r="AD25"/>
  <c r="AD24"/>
  <c r="AD23"/>
  <c r="AD22"/>
  <c r="AD21"/>
  <c r="AD20"/>
  <c r="AD19"/>
  <c r="AD18"/>
  <c r="AD17"/>
  <c r="AD16"/>
  <c r="AD15"/>
  <c r="AD14"/>
  <c r="AD13"/>
  <c r="AD12"/>
  <c r="AD11"/>
  <c r="AC64"/>
  <c r="AC63"/>
  <c r="AC62"/>
  <c r="AC61"/>
  <c r="AC60"/>
  <c r="AC59"/>
  <c r="AC58"/>
  <c r="AC57"/>
  <c r="AC56"/>
  <c r="AC55"/>
  <c r="AC54"/>
  <c r="AC53"/>
  <c r="AC52"/>
  <c r="AC51"/>
  <c r="AC50"/>
  <c r="AC49"/>
  <c r="AC48"/>
  <c r="AC47"/>
  <c r="AC46"/>
  <c r="AC45"/>
  <c r="AC44"/>
  <c r="AC43"/>
  <c r="AC42"/>
  <c r="AC41"/>
  <c r="AC40"/>
  <c r="AC39"/>
  <c r="AC38"/>
  <c r="AC37"/>
  <c r="AC36"/>
  <c r="AC35"/>
  <c r="AC34"/>
  <c r="AC33"/>
  <c r="AC32"/>
  <c r="AC31"/>
  <c r="AC30"/>
  <c r="AC29"/>
  <c r="AC28"/>
  <c r="AC27"/>
  <c r="AC26"/>
  <c r="AC25"/>
  <c r="AC24"/>
  <c r="AC23"/>
  <c r="AC22"/>
  <c r="AC21"/>
  <c r="AC20"/>
  <c r="AC19"/>
  <c r="AC18"/>
  <c r="AC17"/>
  <c r="AC16"/>
  <c r="AC15"/>
  <c r="AC14"/>
  <c r="AC13"/>
  <c r="AC12"/>
  <c r="AC11"/>
  <c r="AJ10"/>
  <c r="AJ9"/>
  <c r="AI10"/>
  <c r="AI9"/>
  <c r="AD10"/>
  <c r="AD9"/>
  <c r="AC10"/>
  <c r="AC9"/>
  <c r="BL7" i="14"/>
  <c r="BK7"/>
  <c r="BJ7"/>
  <c r="BI7"/>
  <c r="AB10" i="10"/>
  <c r="AB76" s="1"/>
  <c r="N30" i="16"/>
  <c r="M30"/>
  <c r="L30"/>
  <c r="K30"/>
  <c r="J30"/>
  <c r="I30"/>
  <c r="H30"/>
  <c r="G30"/>
  <c r="F30"/>
  <c r="E30"/>
  <c r="D30"/>
  <c r="C30"/>
  <c r="N29"/>
  <c r="M29"/>
  <c r="L29"/>
  <c r="K29"/>
  <c r="J29"/>
  <c r="I29"/>
  <c r="H29"/>
  <c r="G29"/>
  <c r="F29"/>
  <c r="E29"/>
  <c r="D29"/>
  <c r="C29"/>
  <c r="N28"/>
  <c r="M28"/>
  <c r="L28"/>
  <c r="K28"/>
  <c r="J28"/>
  <c r="I28"/>
  <c r="H28"/>
  <c r="G28"/>
  <c r="F28"/>
  <c r="E28"/>
  <c r="D28"/>
  <c r="C28"/>
  <c r="N25"/>
  <c r="M25"/>
  <c r="K25"/>
  <c r="I25"/>
  <c r="G25"/>
  <c r="E25"/>
  <c r="C25"/>
  <c r="N23"/>
  <c r="M23"/>
  <c r="L23"/>
  <c r="K23"/>
  <c r="J23"/>
  <c r="I23"/>
  <c r="H23"/>
  <c r="G23"/>
  <c r="F23"/>
  <c r="E23"/>
  <c r="D23"/>
  <c r="C23"/>
  <c r="N22"/>
  <c r="M22"/>
  <c r="L22"/>
  <c r="K22"/>
  <c r="J22"/>
  <c r="I22"/>
  <c r="H22"/>
  <c r="G22"/>
  <c r="F22"/>
  <c r="E22"/>
  <c r="D22"/>
  <c r="C22"/>
  <c r="N21"/>
  <c r="M21"/>
  <c r="L21"/>
  <c r="K21"/>
  <c r="J21"/>
  <c r="I21"/>
  <c r="H21"/>
  <c r="G21"/>
  <c r="F21"/>
  <c r="E21"/>
  <c r="D21"/>
  <c r="C21"/>
  <c r="AN20"/>
  <c r="AH20"/>
  <c r="AA20"/>
  <c r="T20"/>
  <c r="AN19"/>
  <c r="AH19"/>
  <c r="AA19"/>
  <c r="T19"/>
  <c r="AN18"/>
  <c r="AH18"/>
  <c r="AA18"/>
  <c r="T18"/>
  <c r="M18"/>
  <c r="K18"/>
  <c r="I18"/>
  <c r="G18"/>
  <c r="E18"/>
  <c r="C18"/>
  <c r="AN17"/>
  <c r="AH17"/>
  <c r="AA17"/>
  <c r="T17"/>
  <c r="S17"/>
  <c r="R17"/>
  <c r="Q17"/>
  <c r="AN16"/>
  <c r="AH16"/>
  <c r="AA16"/>
  <c r="T16"/>
  <c r="S16"/>
  <c r="R16"/>
  <c r="Q16"/>
  <c r="M16"/>
  <c r="K16"/>
  <c r="E16"/>
  <c r="C16"/>
  <c r="AN15"/>
  <c r="AH15"/>
  <c r="AA15"/>
  <c r="T15"/>
  <c r="S15"/>
  <c r="R15"/>
  <c r="Q15"/>
  <c r="M15"/>
  <c r="K15"/>
  <c r="E15"/>
  <c r="C15"/>
  <c r="AN14"/>
  <c r="AH14"/>
  <c r="AA14"/>
  <c r="T14"/>
  <c r="S14"/>
  <c r="R14"/>
  <c r="Q14"/>
  <c r="M14"/>
  <c r="K14"/>
  <c r="F14"/>
  <c r="D14"/>
  <c r="AN13"/>
  <c r="AH13"/>
  <c r="AA13"/>
  <c r="T13"/>
  <c r="S13"/>
  <c r="R13"/>
  <c r="Q13"/>
  <c r="M13"/>
  <c r="K13"/>
  <c r="F13"/>
  <c r="D13"/>
  <c r="AN12"/>
  <c r="AM12"/>
  <c r="AL12"/>
  <c r="AK12"/>
  <c r="AH12"/>
  <c r="AG12"/>
  <c r="AF12"/>
  <c r="AE12"/>
  <c r="AA12"/>
  <c r="Z12"/>
  <c r="Y12"/>
  <c r="X12"/>
  <c r="T12"/>
  <c r="S12"/>
  <c r="R12"/>
  <c r="Q12"/>
  <c r="F12"/>
  <c r="D12"/>
  <c r="AN11"/>
  <c r="AM11"/>
  <c r="AL11"/>
  <c r="AK11"/>
  <c r="AH11"/>
  <c r="AE11"/>
  <c r="AA11"/>
  <c r="Z11"/>
  <c r="Y11"/>
  <c r="X11"/>
  <c r="T11"/>
  <c r="S11"/>
  <c r="R11"/>
  <c r="Q11"/>
  <c r="F11"/>
  <c r="D11"/>
  <c r="F10"/>
  <c r="D10"/>
  <c r="M9"/>
  <c r="K9"/>
  <c r="I9"/>
  <c r="F9"/>
  <c r="D9"/>
  <c r="M8"/>
  <c r="L8"/>
  <c r="K8"/>
  <c r="I8"/>
  <c r="F8"/>
  <c r="D8"/>
  <c r="F7"/>
  <c r="D7"/>
  <c r="AJ6"/>
  <c r="AD6"/>
  <c r="W6"/>
  <c r="P6"/>
  <c r="M6"/>
  <c r="L6"/>
  <c r="K6"/>
  <c r="I6"/>
  <c r="F6"/>
  <c r="D6"/>
  <c r="F5"/>
  <c r="D5"/>
  <c r="F4"/>
  <c r="D4"/>
  <c r="AN38" i="15"/>
  <c r="N38"/>
  <c r="K38"/>
  <c r="H38"/>
  <c r="F38"/>
  <c r="D38"/>
  <c r="C38"/>
  <c r="B38"/>
  <c r="N37"/>
  <c r="K37"/>
  <c r="H37"/>
  <c r="F37"/>
  <c r="D37"/>
  <c r="C37"/>
  <c r="B37"/>
  <c r="N36"/>
  <c r="K36"/>
  <c r="H36"/>
  <c r="F36"/>
  <c r="D36"/>
  <c r="C36"/>
  <c r="B36"/>
  <c r="F35"/>
  <c r="D35"/>
  <c r="C35"/>
  <c r="F34"/>
  <c r="D34"/>
  <c r="C34"/>
  <c r="F33"/>
  <c r="D33"/>
  <c r="C33"/>
  <c r="F32"/>
  <c r="D32"/>
  <c r="C32"/>
  <c r="F31"/>
  <c r="D31"/>
  <c r="C31"/>
  <c r="F30"/>
  <c r="D30"/>
  <c r="C30"/>
  <c r="F29"/>
  <c r="D29"/>
  <c r="C29"/>
  <c r="F28"/>
  <c r="D28"/>
  <c r="C28"/>
  <c r="F27"/>
  <c r="D27"/>
  <c r="C27"/>
  <c r="F26"/>
  <c r="D26"/>
  <c r="C26"/>
  <c r="N25"/>
  <c r="F25"/>
  <c r="D25"/>
  <c r="C25"/>
  <c r="F24"/>
  <c r="D24"/>
  <c r="C24"/>
  <c r="F23"/>
  <c r="D23"/>
  <c r="C23"/>
  <c r="N22"/>
  <c r="F22"/>
  <c r="D22"/>
  <c r="C22"/>
  <c r="N21"/>
  <c r="F21"/>
  <c r="D21"/>
  <c r="C21"/>
  <c r="F20"/>
  <c r="D20"/>
  <c r="C20"/>
  <c r="F19"/>
  <c r="D19"/>
  <c r="C19"/>
  <c r="N18"/>
  <c r="F18"/>
  <c r="D18"/>
  <c r="C18"/>
  <c r="N17"/>
  <c r="F17"/>
  <c r="D17"/>
  <c r="C17"/>
  <c r="AN16"/>
  <c r="F16"/>
  <c r="D16"/>
  <c r="C16"/>
  <c r="AN15"/>
  <c r="N15"/>
  <c r="F15"/>
  <c r="D15"/>
  <c r="C15"/>
  <c r="AN14"/>
  <c r="N14"/>
  <c r="F14"/>
  <c r="D14"/>
  <c r="C14"/>
  <c r="B14"/>
  <c r="AN13"/>
  <c r="N13"/>
  <c r="F13"/>
  <c r="D13"/>
  <c r="C13"/>
  <c r="B13"/>
  <c r="AN12"/>
  <c r="F12"/>
  <c r="D12"/>
  <c r="C12"/>
  <c r="B12"/>
  <c r="AN11"/>
  <c r="N11"/>
  <c r="F11"/>
  <c r="D11"/>
  <c r="C11"/>
  <c r="B11"/>
  <c r="AN10"/>
  <c r="N10"/>
  <c r="F10"/>
  <c r="D10"/>
  <c r="C10"/>
  <c r="B10"/>
  <c r="AN9"/>
  <c r="N9"/>
  <c r="F9"/>
  <c r="D9"/>
  <c r="C9"/>
  <c r="B9"/>
  <c r="AN8"/>
  <c r="N8"/>
  <c r="K8"/>
  <c r="H8"/>
  <c r="F8"/>
  <c r="D8"/>
  <c r="C8"/>
  <c r="B8"/>
  <c r="M5"/>
  <c r="L5"/>
  <c r="H5"/>
  <c r="AD87" i="10"/>
  <c r="AH86"/>
  <c r="AD86"/>
  <c r="S86"/>
  <c r="O86"/>
  <c r="I86"/>
  <c r="D86"/>
  <c r="C86"/>
  <c r="AD85"/>
  <c r="S85"/>
  <c r="O85"/>
  <c r="I85"/>
  <c r="D85"/>
  <c r="C85"/>
  <c r="AH84"/>
  <c r="AD84"/>
  <c r="S84"/>
  <c r="O84"/>
  <c r="I84"/>
  <c r="D84"/>
  <c r="C84"/>
  <c r="AD83"/>
  <c r="S83"/>
  <c r="O83"/>
  <c r="I83"/>
  <c r="D83"/>
  <c r="C83"/>
  <c r="AD82"/>
  <c r="S82"/>
  <c r="O82"/>
  <c r="I82"/>
  <c r="D82"/>
  <c r="C82"/>
  <c r="AH9"/>
  <c r="AH75"/>
  <c r="AK75"/>
  <c r="AM75"/>
  <c r="AH10"/>
  <c r="AH76"/>
  <c r="AK76"/>
  <c r="AM76"/>
  <c r="AM77"/>
  <c r="AL77"/>
  <c r="AK77"/>
  <c r="AJ77"/>
  <c r="AI77"/>
  <c r="AH77"/>
  <c r="AG77"/>
  <c r="AF77"/>
  <c r="AE77"/>
  <c r="AD77"/>
  <c r="AC77"/>
  <c r="AB77"/>
  <c r="AL76"/>
  <c r="AG76"/>
  <c r="AF76"/>
  <c r="AE76"/>
  <c r="AP75"/>
  <c r="AL75"/>
  <c r="AG75"/>
  <c r="AF75"/>
  <c r="AE75"/>
  <c r="AB75"/>
  <c r="X75"/>
  <c r="W75"/>
  <c r="V75"/>
  <c r="U75"/>
  <c r="T75"/>
  <c r="S75"/>
  <c r="R75"/>
  <c r="Q75"/>
  <c r="P75"/>
  <c r="O75"/>
  <c r="N75"/>
  <c r="M75"/>
  <c r="L75"/>
  <c r="K75"/>
  <c r="J75"/>
  <c r="I75"/>
  <c r="H75"/>
  <c r="C74"/>
  <c r="AH70"/>
  <c r="AP70"/>
  <c r="AM70"/>
  <c r="AL70"/>
  <c r="AK70"/>
  <c r="AJ70"/>
  <c r="AI70"/>
  <c r="AG70"/>
  <c r="AF70"/>
  <c r="AE70"/>
  <c r="AD70"/>
  <c r="AC70"/>
  <c r="AB70"/>
  <c r="AA70"/>
  <c r="Z70"/>
  <c r="AM69"/>
  <c r="AL69"/>
  <c r="AK69"/>
  <c r="AJ69"/>
  <c r="AI69"/>
  <c r="AH69"/>
  <c r="AG69"/>
  <c r="AF69"/>
  <c r="AE69"/>
  <c r="AD69"/>
  <c r="AC69"/>
  <c r="AB69"/>
  <c r="AA69"/>
  <c r="Z69"/>
  <c r="X69"/>
  <c r="W69"/>
  <c r="V69"/>
  <c r="U69"/>
  <c r="T69"/>
  <c r="S69"/>
  <c r="R69"/>
  <c r="Q69"/>
  <c r="P69"/>
  <c r="O69"/>
  <c r="N69"/>
  <c r="M69"/>
  <c r="L69"/>
  <c r="K69"/>
  <c r="J69"/>
  <c r="I69"/>
  <c r="H69"/>
  <c r="F69"/>
  <c r="D69"/>
  <c r="C69"/>
  <c r="B69"/>
  <c r="AK10"/>
  <c r="AM10"/>
  <c r="AH12"/>
  <c r="AK12"/>
  <c r="AM12"/>
  <c r="AH14"/>
  <c r="AK14"/>
  <c r="AM14"/>
  <c r="AH16"/>
  <c r="AK16"/>
  <c r="AM16"/>
  <c r="AH18"/>
  <c r="AK18"/>
  <c r="AM18"/>
  <c r="AH20"/>
  <c r="AK20"/>
  <c r="AM20"/>
  <c r="AH22"/>
  <c r="AK22"/>
  <c r="AM22"/>
  <c r="AH24"/>
  <c r="AK24"/>
  <c r="AM24"/>
  <c r="AH26"/>
  <c r="AK26"/>
  <c r="AM26"/>
  <c r="AH28"/>
  <c r="AK28"/>
  <c r="AM28"/>
  <c r="AH30"/>
  <c r="AK30"/>
  <c r="AM30"/>
  <c r="AH32"/>
  <c r="AK32"/>
  <c r="AM32"/>
  <c r="AH34"/>
  <c r="AK34"/>
  <c r="AM34"/>
  <c r="AH36"/>
  <c r="AK36"/>
  <c r="AM36"/>
  <c r="AH38"/>
  <c r="AK38"/>
  <c r="AM38"/>
  <c r="AH40"/>
  <c r="AK40"/>
  <c r="AM40"/>
  <c r="AH42"/>
  <c r="AK42"/>
  <c r="AM42"/>
  <c r="AH44"/>
  <c r="AK44"/>
  <c r="AM44"/>
  <c r="AH46"/>
  <c r="AK46"/>
  <c r="AM46"/>
  <c r="AH48"/>
  <c r="AK48"/>
  <c r="AM48"/>
  <c r="AH50"/>
  <c r="AK50"/>
  <c r="AM50"/>
  <c r="AH52"/>
  <c r="AK52"/>
  <c r="AM52"/>
  <c r="AH54"/>
  <c r="AK54"/>
  <c r="AM54"/>
  <c r="AH56"/>
  <c r="AK56"/>
  <c r="AM56"/>
  <c r="AH58"/>
  <c r="AK58"/>
  <c r="AM58"/>
  <c r="AH60"/>
  <c r="AK60"/>
  <c r="AM60"/>
  <c r="AH62"/>
  <c r="AK62"/>
  <c r="AM62"/>
  <c r="AH64"/>
  <c r="AK64"/>
  <c r="AM64"/>
  <c r="AH66"/>
  <c r="AK66"/>
  <c r="AM66"/>
  <c r="AH68"/>
  <c r="AK68"/>
  <c r="AM68"/>
  <c r="AL68"/>
  <c r="AJ68"/>
  <c r="AI68"/>
  <c r="AG68"/>
  <c r="AF68"/>
  <c r="AE68"/>
  <c r="AD68"/>
  <c r="AC68"/>
  <c r="AB68"/>
  <c r="AA68"/>
  <c r="Z68"/>
  <c r="AK9"/>
  <c r="AM9"/>
  <c r="AH11"/>
  <c r="AK11"/>
  <c r="AM11"/>
  <c r="AH13"/>
  <c r="AK13"/>
  <c r="AM13"/>
  <c r="AH15"/>
  <c r="AK15"/>
  <c r="AM15"/>
  <c r="AH17"/>
  <c r="AK17"/>
  <c r="AM17"/>
  <c r="AH19"/>
  <c r="AK19"/>
  <c r="AM19"/>
  <c r="AH21"/>
  <c r="AK21"/>
  <c r="AM21"/>
  <c r="AH23"/>
  <c r="AK23"/>
  <c r="AM23"/>
  <c r="AH25"/>
  <c r="AK25"/>
  <c r="AM25"/>
  <c r="AH27"/>
  <c r="AK27"/>
  <c r="AM27"/>
  <c r="AH29"/>
  <c r="AK29"/>
  <c r="AM29"/>
  <c r="AH31"/>
  <c r="AK31"/>
  <c r="AM31"/>
  <c r="AH33"/>
  <c r="AK33"/>
  <c r="AM33"/>
  <c r="AH35"/>
  <c r="AK35"/>
  <c r="AM35"/>
  <c r="AH37"/>
  <c r="AK37"/>
  <c r="AM37"/>
  <c r="AH39"/>
  <c r="AK39"/>
  <c r="AM39"/>
  <c r="AH41"/>
  <c r="AK41"/>
  <c r="AM41"/>
  <c r="AH43"/>
  <c r="AK43"/>
  <c r="AM43"/>
  <c r="AH45"/>
  <c r="AK45"/>
  <c r="AM45"/>
  <c r="AH47"/>
  <c r="AK47"/>
  <c r="AM47"/>
  <c r="AH49"/>
  <c r="AK49"/>
  <c r="AM49"/>
  <c r="AH51"/>
  <c r="AK51"/>
  <c r="AM51"/>
  <c r="AH53"/>
  <c r="AK53"/>
  <c r="AM53"/>
  <c r="AH55"/>
  <c r="AK55"/>
  <c r="AM55"/>
  <c r="AH57"/>
  <c r="AK57"/>
  <c r="AM57"/>
  <c r="AH59"/>
  <c r="AK59"/>
  <c r="AM59"/>
  <c r="AH61"/>
  <c r="AK61"/>
  <c r="AM61"/>
  <c r="AH63"/>
  <c r="AK63"/>
  <c r="AM63"/>
  <c r="AH65"/>
  <c r="AK65"/>
  <c r="AM65"/>
  <c r="AH67"/>
  <c r="AP67"/>
  <c r="AK67"/>
  <c r="AM67"/>
  <c r="AL67"/>
  <c r="AJ67"/>
  <c r="AI67"/>
  <c r="AG67"/>
  <c r="AF67"/>
  <c r="AE67"/>
  <c r="AD67"/>
  <c r="AC67"/>
  <c r="AB67"/>
  <c r="AA67"/>
  <c r="Z67"/>
  <c r="X67"/>
  <c r="W67"/>
  <c r="V67"/>
  <c r="U67"/>
  <c r="T67"/>
  <c r="S67"/>
  <c r="R67"/>
  <c r="Q67"/>
  <c r="P67"/>
  <c r="O67"/>
  <c r="N67"/>
  <c r="M67"/>
  <c r="L67"/>
  <c r="K67"/>
  <c r="J67"/>
  <c r="I67"/>
  <c r="H67"/>
  <c r="F67"/>
  <c r="D67"/>
  <c r="C67"/>
  <c r="B67"/>
  <c r="AL66"/>
  <c r="AJ66"/>
  <c r="AI66"/>
  <c r="AG66"/>
  <c r="AF66"/>
  <c r="AE66"/>
  <c r="AD66"/>
  <c r="AC66"/>
  <c r="AB66"/>
  <c r="AA66"/>
  <c r="Z66"/>
  <c r="AP65"/>
  <c r="AL65"/>
  <c r="AJ65"/>
  <c r="AI65"/>
  <c r="AG65"/>
  <c r="AF65"/>
  <c r="AE65"/>
  <c r="AD65"/>
  <c r="AC65"/>
  <c r="AB65"/>
  <c r="AA65"/>
  <c r="Z65"/>
  <c r="X65"/>
  <c r="W65"/>
  <c r="V65"/>
  <c r="U65"/>
  <c r="T65"/>
  <c r="S65"/>
  <c r="R65"/>
  <c r="Q65"/>
  <c r="P65"/>
  <c r="O65"/>
  <c r="N65"/>
  <c r="M65"/>
  <c r="L65"/>
  <c r="K65"/>
  <c r="J65"/>
  <c r="I65"/>
  <c r="H65"/>
  <c r="F65"/>
  <c r="D65"/>
  <c r="C65"/>
  <c r="B65"/>
  <c r="AL64"/>
  <c r="AG64"/>
  <c r="AF64"/>
  <c r="AE64"/>
  <c r="AB64"/>
  <c r="Z64"/>
  <c r="AP63"/>
  <c r="AL63"/>
  <c r="AG63"/>
  <c r="AF63"/>
  <c r="AE63"/>
  <c r="AB63"/>
  <c r="Z63"/>
  <c r="X63"/>
  <c r="W63"/>
  <c r="V63"/>
  <c r="U63"/>
  <c r="T63"/>
  <c r="S63"/>
  <c r="R63"/>
  <c r="Q63"/>
  <c r="M63"/>
  <c r="F63"/>
  <c r="D63"/>
  <c r="C63"/>
  <c r="B63"/>
  <c r="AL62"/>
  <c r="AG62"/>
  <c r="AF62"/>
  <c r="AE62"/>
  <c r="AB62"/>
  <c r="AP61"/>
  <c r="AL61"/>
  <c r="AG61"/>
  <c r="AF61"/>
  <c r="AE61"/>
  <c r="AB61"/>
  <c r="X61"/>
  <c r="W61"/>
  <c r="V61"/>
  <c r="U61"/>
  <c r="T61"/>
  <c r="S61"/>
  <c r="R61"/>
  <c r="Q61"/>
  <c r="M61"/>
  <c r="F61"/>
  <c r="D61"/>
  <c r="C61"/>
  <c r="AL60"/>
  <c r="AG60"/>
  <c r="AF60"/>
  <c r="AE60"/>
  <c r="AB60"/>
  <c r="AP59"/>
  <c r="AL59"/>
  <c r="AG59"/>
  <c r="AF59"/>
  <c r="AE59"/>
  <c r="AB59"/>
  <c r="X59"/>
  <c r="W59"/>
  <c r="V59"/>
  <c r="U59"/>
  <c r="T59"/>
  <c r="S59"/>
  <c r="R59"/>
  <c r="Q59"/>
  <c r="M59"/>
  <c r="F59"/>
  <c r="D59"/>
  <c r="C59"/>
  <c r="AL58"/>
  <c r="AG58"/>
  <c r="AF58"/>
  <c r="AE58"/>
  <c r="AB58"/>
  <c r="AP57"/>
  <c r="AL57"/>
  <c r="AG57"/>
  <c r="AF57"/>
  <c r="AE57"/>
  <c r="AB57"/>
  <c r="X57"/>
  <c r="W57"/>
  <c r="V57"/>
  <c r="U57"/>
  <c r="T57"/>
  <c r="S57"/>
  <c r="R57"/>
  <c r="Q57"/>
  <c r="M57"/>
  <c r="F57"/>
  <c r="D57"/>
  <c r="C57"/>
  <c r="AL56"/>
  <c r="AG56"/>
  <c r="AF56"/>
  <c r="AE56"/>
  <c r="AB56"/>
  <c r="AP55"/>
  <c r="AL55"/>
  <c r="AG55"/>
  <c r="AF55"/>
  <c r="AE55"/>
  <c r="AB55"/>
  <c r="X55"/>
  <c r="W55"/>
  <c r="V55"/>
  <c r="U55"/>
  <c r="T55"/>
  <c r="S55"/>
  <c r="R55"/>
  <c r="Q55"/>
  <c r="M55"/>
  <c r="F55"/>
  <c r="D55"/>
  <c r="C55"/>
  <c r="AL54"/>
  <c r="AG54"/>
  <c r="AF54"/>
  <c r="AE54"/>
  <c r="AB54"/>
  <c r="AP53"/>
  <c r="AL53"/>
  <c r="AG53"/>
  <c r="AF53"/>
  <c r="AE53"/>
  <c r="AB53"/>
  <c r="X53"/>
  <c r="W53"/>
  <c r="V53"/>
  <c r="U53"/>
  <c r="T53"/>
  <c r="S53"/>
  <c r="R53"/>
  <c r="Q53"/>
  <c r="M53"/>
  <c r="F53"/>
  <c r="D53"/>
  <c r="C53"/>
  <c r="AL52"/>
  <c r="AG52"/>
  <c r="AF52"/>
  <c r="AE52"/>
  <c r="AB52"/>
  <c r="AP51"/>
  <c r="AL51"/>
  <c r="AG51"/>
  <c r="AF51"/>
  <c r="AE51"/>
  <c r="AB51"/>
  <c r="X51"/>
  <c r="W51"/>
  <c r="V51"/>
  <c r="U51"/>
  <c r="T51"/>
  <c r="S51"/>
  <c r="R51"/>
  <c r="Q51"/>
  <c r="M51"/>
  <c r="F51"/>
  <c r="D51"/>
  <c r="C51"/>
  <c r="AL50"/>
  <c r="AG50"/>
  <c r="AF50"/>
  <c r="AE50"/>
  <c r="AB50"/>
  <c r="AP49"/>
  <c r="AL49"/>
  <c r="AG49"/>
  <c r="AF49"/>
  <c r="AE49"/>
  <c r="AB49"/>
  <c r="X49"/>
  <c r="W49"/>
  <c r="V49"/>
  <c r="U49"/>
  <c r="T49"/>
  <c r="S49"/>
  <c r="R49"/>
  <c r="Q49"/>
  <c r="M49"/>
  <c r="F49"/>
  <c r="D49"/>
  <c r="C49"/>
  <c r="AL48"/>
  <c r="AG48"/>
  <c r="AF48"/>
  <c r="AE48"/>
  <c r="AB48"/>
  <c r="AP47"/>
  <c r="AL47"/>
  <c r="AG47"/>
  <c r="AF47"/>
  <c r="AE47"/>
  <c r="AB47"/>
  <c r="X47"/>
  <c r="W47"/>
  <c r="V47"/>
  <c r="U47"/>
  <c r="T47"/>
  <c r="S47"/>
  <c r="R47"/>
  <c r="Q47"/>
  <c r="M47"/>
  <c r="F47"/>
  <c r="D47"/>
  <c r="C47"/>
  <c r="AL46"/>
  <c r="AG46"/>
  <c r="AF46"/>
  <c r="AE46"/>
  <c r="AB46"/>
  <c r="AP45"/>
  <c r="AL45"/>
  <c r="AG45"/>
  <c r="AF45"/>
  <c r="AE45"/>
  <c r="AB45"/>
  <c r="X45"/>
  <c r="W45"/>
  <c r="V45"/>
  <c r="U45"/>
  <c r="T45"/>
  <c r="S45"/>
  <c r="R45"/>
  <c r="Q45"/>
  <c r="M45"/>
  <c r="F45"/>
  <c r="D45"/>
  <c r="C45"/>
  <c r="AL44"/>
  <c r="AG44"/>
  <c r="AF44"/>
  <c r="AE44"/>
  <c r="AB44"/>
  <c r="AP43"/>
  <c r="AL43"/>
  <c r="AG43"/>
  <c r="AF43"/>
  <c r="AE43"/>
  <c r="AB43"/>
  <c r="X43"/>
  <c r="W43"/>
  <c r="V43"/>
  <c r="U43"/>
  <c r="T43"/>
  <c r="S43"/>
  <c r="R43"/>
  <c r="Q43"/>
  <c r="M43"/>
  <c r="F43"/>
  <c r="D43"/>
  <c r="C43"/>
  <c r="AL42"/>
  <c r="AG42"/>
  <c r="AF42"/>
  <c r="AE42"/>
  <c r="AB42"/>
  <c r="AP41"/>
  <c r="AL41"/>
  <c r="AG41"/>
  <c r="AF41"/>
  <c r="AE41"/>
  <c r="AB41"/>
  <c r="X41"/>
  <c r="W41"/>
  <c r="V41"/>
  <c r="U41"/>
  <c r="T41"/>
  <c r="S41"/>
  <c r="R41"/>
  <c r="Q41"/>
  <c r="M41"/>
  <c r="F41"/>
  <c r="D41"/>
  <c r="C41"/>
  <c r="AL40"/>
  <c r="AG40"/>
  <c r="AF40"/>
  <c r="AE40"/>
  <c r="AB40"/>
  <c r="AP39"/>
  <c r="AL39"/>
  <c r="AG39"/>
  <c r="AF39"/>
  <c r="AE39"/>
  <c r="AB39"/>
  <c r="X39"/>
  <c r="W39"/>
  <c r="V39"/>
  <c r="U39"/>
  <c r="T39"/>
  <c r="S39"/>
  <c r="R39"/>
  <c r="Q39"/>
  <c r="M39"/>
  <c r="F39"/>
  <c r="D39"/>
  <c r="C39"/>
  <c r="AL38"/>
  <c r="AG38"/>
  <c r="AF38"/>
  <c r="AE38"/>
  <c r="AB38"/>
  <c r="AP37"/>
  <c r="AL37"/>
  <c r="AG37"/>
  <c r="AF37"/>
  <c r="AE37"/>
  <c r="AB37"/>
  <c r="X37"/>
  <c r="W37"/>
  <c r="V37"/>
  <c r="U37"/>
  <c r="T37"/>
  <c r="S37"/>
  <c r="R37"/>
  <c r="Q37"/>
  <c r="M37"/>
  <c r="F37"/>
  <c r="D37"/>
  <c r="C37"/>
  <c r="AL36"/>
  <c r="AG36"/>
  <c r="AF36"/>
  <c r="AE36"/>
  <c r="AB36"/>
  <c r="AP35"/>
  <c r="AL35"/>
  <c r="AG35"/>
  <c r="AF35"/>
  <c r="AE35"/>
  <c r="AB35"/>
  <c r="X35"/>
  <c r="W35"/>
  <c r="V35"/>
  <c r="U35"/>
  <c r="T35"/>
  <c r="S35"/>
  <c r="R35"/>
  <c r="Q35"/>
  <c r="M35"/>
  <c r="F35"/>
  <c r="D35"/>
  <c r="C35"/>
  <c r="AL34"/>
  <c r="AG34"/>
  <c r="AF34"/>
  <c r="AE34"/>
  <c r="AB34"/>
  <c r="AP33"/>
  <c r="AL33"/>
  <c r="AG33"/>
  <c r="AF33"/>
  <c r="AE33"/>
  <c r="AB33"/>
  <c r="X33"/>
  <c r="W33"/>
  <c r="V33"/>
  <c r="U33"/>
  <c r="T33"/>
  <c r="S33"/>
  <c r="R33"/>
  <c r="Q33"/>
  <c r="M33"/>
  <c r="F33"/>
  <c r="D33"/>
  <c r="C33"/>
  <c r="AL32"/>
  <c r="AG32"/>
  <c r="AF32"/>
  <c r="AE32"/>
  <c r="AB32"/>
  <c r="AP31"/>
  <c r="AL31"/>
  <c r="AG31"/>
  <c r="AF31"/>
  <c r="AE31"/>
  <c r="AB31"/>
  <c r="X31"/>
  <c r="W31"/>
  <c r="V31"/>
  <c r="U31"/>
  <c r="T31"/>
  <c r="S31"/>
  <c r="R31"/>
  <c r="Q31"/>
  <c r="M31"/>
  <c r="F31"/>
  <c r="D31"/>
  <c r="C31"/>
  <c r="AL30"/>
  <c r="AG30"/>
  <c r="AE30"/>
  <c r="AB30"/>
  <c r="AP29"/>
  <c r="AL29"/>
  <c r="AG29"/>
  <c r="AF29"/>
  <c r="AE29"/>
  <c r="AB29"/>
  <c r="X29"/>
  <c r="W29"/>
  <c r="V29"/>
  <c r="U29"/>
  <c r="S29"/>
  <c r="R29"/>
  <c r="M29"/>
  <c r="F29"/>
  <c r="D29"/>
  <c r="C29"/>
  <c r="AL28"/>
  <c r="AG28"/>
  <c r="AF28"/>
  <c r="AE28"/>
  <c r="AB28"/>
  <c r="AP27"/>
  <c r="AL27"/>
  <c r="AG27"/>
  <c r="AF27"/>
  <c r="AE27"/>
  <c r="AB27"/>
  <c r="X27"/>
  <c r="W27"/>
  <c r="V27"/>
  <c r="U27"/>
  <c r="T27"/>
  <c r="S27"/>
  <c r="R27"/>
  <c r="Q27"/>
  <c r="M27"/>
  <c r="F27"/>
  <c r="D27"/>
  <c r="C27"/>
  <c r="AL26"/>
  <c r="AG26"/>
  <c r="AF26"/>
  <c r="AE26"/>
  <c r="AB26"/>
  <c r="AP25"/>
  <c r="AL25"/>
  <c r="AG25"/>
  <c r="AF25"/>
  <c r="AE25"/>
  <c r="AB25"/>
  <c r="X25"/>
  <c r="W25"/>
  <c r="V25"/>
  <c r="U25"/>
  <c r="T25"/>
  <c r="S25"/>
  <c r="R25"/>
  <c r="Q25"/>
  <c r="M25"/>
  <c r="F25"/>
  <c r="D25"/>
  <c r="C25"/>
  <c r="AL24"/>
  <c r="AG24"/>
  <c r="AF24"/>
  <c r="AE24"/>
  <c r="AB24"/>
  <c r="AP23"/>
  <c r="AL23"/>
  <c r="AG23"/>
  <c r="AF23"/>
  <c r="AE23"/>
  <c r="AB23"/>
  <c r="X23"/>
  <c r="W23"/>
  <c r="V23"/>
  <c r="U23"/>
  <c r="T23"/>
  <c r="S23"/>
  <c r="R23"/>
  <c r="Q23"/>
  <c r="M23"/>
  <c r="F23"/>
  <c r="D23"/>
  <c r="C23"/>
  <c r="AL22"/>
  <c r="AG22"/>
  <c r="AF22"/>
  <c r="AE22"/>
  <c r="AB22"/>
  <c r="Z22"/>
  <c r="AP21"/>
  <c r="AL21"/>
  <c r="AG21"/>
  <c r="AF21"/>
  <c r="AE21"/>
  <c r="AB21"/>
  <c r="Z21"/>
  <c r="X21"/>
  <c r="W21"/>
  <c r="V21"/>
  <c r="U21"/>
  <c r="T21"/>
  <c r="S21"/>
  <c r="R21"/>
  <c r="Q21"/>
  <c r="M21"/>
  <c r="F21"/>
  <c r="D21"/>
  <c r="C21"/>
  <c r="B21"/>
  <c r="AL20"/>
  <c r="AG20"/>
  <c r="AF20"/>
  <c r="AE20"/>
  <c r="AB20"/>
  <c r="Z20"/>
  <c r="AP19"/>
  <c r="AL19"/>
  <c r="AG19"/>
  <c r="AF19"/>
  <c r="AE19"/>
  <c r="AB19"/>
  <c r="Z19"/>
  <c r="X19"/>
  <c r="W19"/>
  <c r="V19"/>
  <c r="U19"/>
  <c r="T19"/>
  <c r="S19"/>
  <c r="R19"/>
  <c r="Q19"/>
  <c r="M19"/>
  <c r="F19"/>
  <c r="D19"/>
  <c r="C19"/>
  <c r="B19"/>
  <c r="AL18"/>
  <c r="AG18"/>
  <c r="AF18"/>
  <c r="AE18"/>
  <c r="AB18"/>
  <c r="Z18"/>
  <c r="AP17"/>
  <c r="AL17"/>
  <c r="AG17"/>
  <c r="AF17"/>
  <c r="AE17"/>
  <c r="AB17"/>
  <c r="Z17"/>
  <c r="X17"/>
  <c r="W17"/>
  <c r="V17"/>
  <c r="U17"/>
  <c r="T17"/>
  <c r="S17"/>
  <c r="R17"/>
  <c r="Q17"/>
  <c r="M17"/>
  <c r="F17"/>
  <c r="D17"/>
  <c r="C17"/>
  <c r="B17"/>
  <c r="AL16"/>
  <c r="AG16"/>
  <c r="AF16"/>
  <c r="AE16"/>
  <c r="AB16"/>
  <c r="Z16"/>
  <c r="AP15"/>
  <c r="AL15"/>
  <c r="AG15"/>
  <c r="AF15"/>
  <c r="AE15"/>
  <c r="AB15"/>
  <c r="Z15"/>
  <c r="X15"/>
  <c r="W15"/>
  <c r="V15"/>
  <c r="U15"/>
  <c r="T15"/>
  <c r="S15"/>
  <c r="R15"/>
  <c r="Q15"/>
  <c r="M15"/>
  <c r="F15"/>
  <c r="D15"/>
  <c r="C15"/>
  <c r="B15"/>
  <c r="AL14"/>
  <c r="AG14"/>
  <c r="AF14"/>
  <c r="AE14"/>
  <c r="AB14"/>
  <c r="Z14"/>
  <c r="AP13"/>
  <c r="AL13"/>
  <c r="AG13"/>
  <c r="AF13"/>
  <c r="AE13"/>
  <c r="AB13"/>
  <c r="Z13"/>
  <c r="X13"/>
  <c r="W13"/>
  <c r="V13"/>
  <c r="U13"/>
  <c r="T13"/>
  <c r="S13"/>
  <c r="R13"/>
  <c r="Q13"/>
  <c r="M13"/>
  <c r="F13"/>
  <c r="D13"/>
  <c r="C13"/>
  <c r="B13"/>
  <c r="AL12"/>
  <c r="AG12"/>
  <c r="AF12"/>
  <c r="AE12"/>
  <c r="AB12"/>
  <c r="Z12"/>
  <c r="AP11"/>
  <c r="AL11"/>
  <c r="AG11"/>
  <c r="AF11"/>
  <c r="AE11"/>
  <c r="AB11"/>
  <c r="Z11"/>
  <c r="X11"/>
  <c r="W11"/>
  <c r="V11"/>
  <c r="U11"/>
  <c r="T11"/>
  <c r="S11"/>
  <c r="R11"/>
  <c r="Q11"/>
  <c r="M11"/>
  <c r="H11"/>
  <c r="F11"/>
  <c r="D11"/>
  <c r="C11"/>
  <c r="B11"/>
  <c r="AL10"/>
  <c r="AG10"/>
  <c r="AF10"/>
  <c r="AE10"/>
  <c r="Z10"/>
  <c r="AP9"/>
  <c r="AL9"/>
  <c r="AG9"/>
  <c r="AF9"/>
  <c r="AE9"/>
  <c r="AB9"/>
  <c r="Z9"/>
  <c r="X9"/>
  <c r="W9"/>
  <c r="V9"/>
  <c r="U9"/>
  <c r="T9"/>
  <c r="S9"/>
  <c r="R9"/>
  <c r="Q9"/>
  <c r="M9"/>
  <c r="H9"/>
  <c r="F9"/>
  <c r="D9"/>
  <c r="C9"/>
  <c r="B9"/>
  <c r="N5"/>
  <c r="M5"/>
  <c r="L5"/>
  <c r="K5"/>
  <c r="J5"/>
  <c r="I5"/>
  <c r="H5"/>
  <c r="G5"/>
  <c r="F5"/>
  <c r="E5"/>
  <c r="D5"/>
  <c r="C5"/>
  <c r="F49" i="12"/>
  <c r="L49"/>
  <c r="P49"/>
  <c r="F50"/>
  <c r="L50"/>
  <c r="P50"/>
  <c r="F51"/>
  <c r="L51"/>
  <c r="P51"/>
  <c r="F52"/>
  <c r="L52"/>
  <c r="P52"/>
  <c r="F53"/>
  <c r="L53"/>
  <c r="P53"/>
  <c r="F54"/>
  <c r="L54"/>
  <c r="P54"/>
  <c r="F55"/>
  <c r="L55"/>
  <c r="P55"/>
  <c r="F56"/>
  <c r="L56"/>
  <c r="P56"/>
  <c r="F57"/>
  <c r="L57"/>
  <c r="P57"/>
  <c r="F58"/>
  <c r="L58"/>
  <c r="P58"/>
  <c r="F59"/>
  <c r="L59"/>
  <c r="P59"/>
  <c r="F60"/>
  <c r="L60"/>
  <c r="P60"/>
  <c r="F61"/>
  <c r="L61"/>
  <c r="P61"/>
  <c r="F62"/>
  <c r="L62"/>
  <c r="P62"/>
  <c r="F63"/>
  <c r="L63"/>
  <c r="P63"/>
  <c r="F64"/>
  <c r="L64"/>
  <c r="P64"/>
  <c r="F65"/>
  <c r="L65"/>
  <c r="P65"/>
  <c r="F66"/>
  <c r="L66"/>
  <c r="P66"/>
  <c r="F67"/>
  <c r="L67"/>
  <c r="P67"/>
  <c r="F68"/>
  <c r="L68"/>
  <c r="P68"/>
  <c r="F69"/>
  <c r="L69"/>
  <c r="P69"/>
  <c r="F70"/>
  <c r="L70"/>
  <c r="P70"/>
  <c r="F71"/>
  <c r="L71"/>
  <c r="P71"/>
  <c r="F72"/>
  <c r="L72"/>
  <c r="P72"/>
  <c r="F73"/>
  <c r="L73"/>
  <c r="P73"/>
  <c r="F74"/>
  <c r="L74"/>
  <c r="P74"/>
  <c r="F75"/>
  <c r="L75"/>
  <c r="P75"/>
  <c r="F76"/>
  <c r="L76"/>
  <c r="P76"/>
  <c r="F77"/>
  <c r="L77"/>
  <c r="P77"/>
  <c r="F78"/>
  <c r="L78"/>
  <c r="P78"/>
  <c r="F79"/>
  <c r="L79"/>
  <c r="P79"/>
  <c r="W81"/>
  <c r="W122"/>
  <c r="M122"/>
  <c r="E122"/>
  <c r="E49"/>
  <c r="K49"/>
  <c r="O49"/>
  <c r="E50"/>
  <c r="K50"/>
  <c r="O50"/>
  <c r="E51"/>
  <c r="K51"/>
  <c r="O51"/>
  <c r="E52"/>
  <c r="K52"/>
  <c r="O52"/>
  <c r="E53"/>
  <c r="K53"/>
  <c r="O53"/>
  <c r="E54"/>
  <c r="K54"/>
  <c r="O54"/>
  <c r="E55"/>
  <c r="K55"/>
  <c r="O55"/>
  <c r="E56"/>
  <c r="K56"/>
  <c r="O56"/>
  <c r="E57"/>
  <c r="K57"/>
  <c r="O57"/>
  <c r="E58"/>
  <c r="K58"/>
  <c r="O58"/>
  <c r="E59"/>
  <c r="K59"/>
  <c r="O59"/>
  <c r="E60"/>
  <c r="K60"/>
  <c r="O60"/>
  <c r="E61"/>
  <c r="K61"/>
  <c r="O61"/>
  <c r="E62"/>
  <c r="K62"/>
  <c r="O62"/>
  <c r="E63"/>
  <c r="K63"/>
  <c r="O63"/>
  <c r="E64"/>
  <c r="K64"/>
  <c r="O64"/>
  <c r="E65"/>
  <c r="K65"/>
  <c r="O65"/>
  <c r="E66"/>
  <c r="K66"/>
  <c r="O66"/>
  <c r="E67"/>
  <c r="K67"/>
  <c r="O67"/>
  <c r="E68"/>
  <c r="K68"/>
  <c r="O68"/>
  <c r="E69"/>
  <c r="K69"/>
  <c r="O69"/>
  <c r="E70"/>
  <c r="K70"/>
  <c r="O70"/>
  <c r="E71"/>
  <c r="K71"/>
  <c r="O71"/>
  <c r="E72"/>
  <c r="K72"/>
  <c r="O72"/>
  <c r="E73"/>
  <c r="K73"/>
  <c r="O73"/>
  <c r="E74"/>
  <c r="K74"/>
  <c r="O74"/>
  <c r="E75"/>
  <c r="K75"/>
  <c r="O75"/>
  <c r="E76"/>
  <c r="K76"/>
  <c r="O76"/>
  <c r="E77"/>
  <c r="K77"/>
  <c r="O77"/>
  <c r="E78"/>
  <c r="K78"/>
  <c r="O78"/>
  <c r="E79"/>
  <c r="K79"/>
  <c r="O79"/>
  <c r="W80"/>
  <c r="W121"/>
  <c r="M121"/>
  <c r="E121"/>
  <c r="AB120"/>
  <c r="Y120"/>
  <c r="X120"/>
  <c r="W120"/>
  <c r="V120"/>
  <c r="U120"/>
  <c r="T120"/>
  <c r="S120"/>
  <c r="R120"/>
  <c r="Q120"/>
  <c r="P120"/>
  <c r="O120"/>
  <c r="N120"/>
  <c r="M120"/>
  <c r="L120"/>
  <c r="K120"/>
  <c r="J120"/>
  <c r="I120"/>
  <c r="H120"/>
  <c r="G120"/>
  <c r="F120"/>
  <c r="E120"/>
  <c r="D120"/>
  <c r="C120"/>
  <c r="B120"/>
  <c r="AB119"/>
  <c r="Y119"/>
  <c r="X119"/>
  <c r="W119"/>
  <c r="V119"/>
  <c r="U119"/>
  <c r="T119"/>
  <c r="S119"/>
  <c r="R119"/>
  <c r="Q119"/>
  <c r="P119"/>
  <c r="O119"/>
  <c r="N119"/>
  <c r="M119"/>
  <c r="L119"/>
  <c r="K119"/>
  <c r="J119"/>
  <c r="I119"/>
  <c r="H119"/>
  <c r="G119"/>
  <c r="F119"/>
  <c r="E119"/>
  <c r="D119"/>
  <c r="C119"/>
  <c r="B119"/>
  <c r="AB118"/>
  <c r="Y118"/>
  <c r="X118"/>
  <c r="W118"/>
  <c r="V118"/>
  <c r="U118"/>
  <c r="T118"/>
  <c r="S118"/>
  <c r="R118"/>
  <c r="Q118"/>
  <c r="P118"/>
  <c r="O118"/>
  <c r="N118"/>
  <c r="M118"/>
  <c r="L118"/>
  <c r="K118"/>
  <c r="J118"/>
  <c r="I118"/>
  <c r="H118"/>
  <c r="G118"/>
  <c r="F118"/>
  <c r="E118"/>
  <c r="D118"/>
  <c r="C118"/>
  <c r="B118"/>
  <c r="AB117"/>
  <c r="Y117"/>
  <c r="X117"/>
  <c r="W117"/>
  <c r="V117"/>
  <c r="U117"/>
  <c r="T117"/>
  <c r="S117"/>
  <c r="R117"/>
  <c r="Q117"/>
  <c r="P117"/>
  <c r="O117"/>
  <c r="N117"/>
  <c r="M117"/>
  <c r="L117"/>
  <c r="K117"/>
  <c r="J117"/>
  <c r="I117"/>
  <c r="H117"/>
  <c r="G117"/>
  <c r="F117"/>
  <c r="E117"/>
  <c r="D117"/>
  <c r="C117"/>
  <c r="B117"/>
  <c r="AB116"/>
  <c r="Y116"/>
  <c r="X116"/>
  <c r="W116"/>
  <c r="V116"/>
  <c r="U116"/>
  <c r="T116"/>
  <c r="S116"/>
  <c r="R116"/>
  <c r="Q116"/>
  <c r="P116"/>
  <c r="O116"/>
  <c r="N116"/>
  <c r="M116"/>
  <c r="L116"/>
  <c r="K116"/>
  <c r="J116"/>
  <c r="I116"/>
  <c r="H116"/>
  <c r="G116"/>
  <c r="F116"/>
  <c r="E116"/>
  <c r="D116"/>
  <c r="C116"/>
  <c r="B116"/>
  <c r="AB115"/>
  <c r="Y115"/>
  <c r="X115"/>
  <c r="W115"/>
  <c r="V115"/>
  <c r="U115"/>
  <c r="T115"/>
  <c r="S115"/>
  <c r="R115"/>
  <c r="Q115"/>
  <c r="P115"/>
  <c r="O115"/>
  <c r="N115"/>
  <c r="M115"/>
  <c r="L115"/>
  <c r="K115"/>
  <c r="J115"/>
  <c r="I115"/>
  <c r="H115"/>
  <c r="G115"/>
  <c r="F115"/>
  <c r="E115"/>
  <c r="D115"/>
  <c r="C115"/>
  <c r="B115"/>
  <c r="AB114"/>
  <c r="Y114"/>
  <c r="X114"/>
  <c r="W114"/>
  <c r="V114"/>
  <c r="U114"/>
  <c r="T114"/>
  <c r="S114"/>
  <c r="R114"/>
  <c r="Q114"/>
  <c r="P114"/>
  <c r="O114"/>
  <c r="N114"/>
  <c r="M114"/>
  <c r="L114"/>
  <c r="K114"/>
  <c r="J114"/>
  <c r="I114"/>
  <c r="H114"/>
  <c r="G114"/>
  <c r="F114"/>
  <c r="E114"/>
  <c r="D114"/>
  <c r="C114"/>
  <c r="B114"/>
  <c r="AB113"/>
  <c r="Y113"/>
  <c r="X113"/>
  <c r="W113"/>
  <c r="V113"/>
  <c r="U113"/>
  <c r="T113"/>
  <c r="S113"/>
  <c r="R113"/>
  <c r="Q113"/>
  <c r="P113"/>
  <c r="O113"/>
  <c r="N113"/>
  <c r="M113"/>
  <c r="L113"/>
  <c r="K113"/>
  <c r="J113"/>
  <c r="I113"/>
  <c r="H113"/>
  <c r="G113"/>
  <c r="F113"/>
  <c r="E113"/>
  <c r="D113"/>
  <c r="C113"/>
  <c r="B113"/>
  <c r="AB112"/>
  <c r="Y112"/>
  <c r="X112"/>
  <c r="W112"/>
  <c r="V112"/>
  <c r="U112"/>
  <c r="T112"/>
  <c r="S112"/>
  <c r="R112"/>
  <c r="Q112"/>
  <c r="P112"/>
  <c r="O112"/>
  <c r="N112"/>
  <c r="M112"/>
  <c r="L112"/>
  <c r="K112"/>
  <c r="J112"/>
  <c r="I112"/>
  <c r="H112"/>
  <c r="G112"/>
  <c r="F112"/>
  <c r="E112"/>
  <c r="D112"/>
  <c r="C112"/>
  <c r="B112"/>
  <c r="AB111"/>
  <c r="Y111"/>
  <c r="X111"/>
  <c r="W111"/>
  <c r="V111"/>
  <c r="U111"/>
  <c r="T111"/>
  <c r="S111"/>
  <c r="R111"/>
  <c r="Q111"/>
  <c r="P111"/>
  <c r="O111"/>
  <c r="N111"/>
  <c r="M111"/>
  <c r="L111"/>
  <c r="K111"/>
  <c r="J111"/>
  <c r="I111"/>
  <c r="H111"/>
  <c r="G111"/>
  <c r="F111"/>
  <c r="E111"/>
  <c r="D111"/>
  <c r="C111"/>
  <c r="B111"/>
  <c r="AB110"/>
  <c r="Y110"/>
  <c r="X110"/>
  <c r="W110"/>
  <c r="V110"/>
  <c r="U110"/>
  <c r="T110"/>
  <c r="S110"/>
  <c r="R110"/>
  <c r="Q110"/>
  <c r="P110"/>
  <c r="O110"/>
  <c r="N110"/>
  <c r="M110"/>
  <c r="L110"/>
  <c r="K110"/>
  <c r="J110"/>
  <c r="I110"/>
  <c r="H110"/>
  <c r="G110"/>
  <c r="F110"/>
  <c r="E110"/>
  <c r="D110"/>
  <c r="C110"/>
  <c r="B110"/>
  <c r="AB109"/>
  <c r="Y109"/>
  <c r="X109"/>
  <c r="W109"/>
  <c r="V109"/>
  <c r="U109"/>
  <c r="T109"/>
  <c r="S109"/>
  <c r="R109"/>
  <c r="Q109"/>
  <c r="P109"/>
  <c r="O109"/>
  <c r="N109"/>
  <c r="M109"/>
  <c r="L109"/>
  <c r="K109"/>
  <c r="J109"/>
  <c r="I109"/>
  <c r="H109"/>
  <c r="G109"/>
  <c r="F109"/>
  <c r="E109"/>
  <c r="D109"/>
  <c r="C109"/>
  <c r="B109"/>
  <c r="AB108"/>
  <c r="Y108"/>
  <c r="X108"/>
  <c r="W108"/>
  <c r="V108"/>
  <c r="U108"/>
  <c r="T108"/>
  <c r="S108"/>
  <c r="R108"/>
  <c r="Q108"/>
  <c r="P108"/>
  <c r="O108"/>
  <c r="N108"/>
  <c r="M108"/>
  <c r="L108"/>
  <c r="K108"/>
  <c r="J108"/>
  <c r="I108"/>
  <c r="H108"/>
  <c r="G108"/>
  <c r="F108"/>
  <c r="E108"/>
  <c r="D108"/>
  <c r="C108"/>
  <c r="B108"/>
  <c r="AB107"/>
  <c r="Y107"/>
  <c r="X107"/>
  <c r="W107"/>
  <c r="V107"/>
  <c r="U107"/>
  <c r="T107"/>
  <c r="S107"/>
  <c r="R107"/>
  <c r="Q107"/>
  <c r="P107"/>
  <c r="O107"/>
  <c r="N107"/>
  <c r="M107"/>
  <c r="L107"/>
  <c r="K107"/>
  <c r="J107"/>
  <c r="I107"/>
  <c r="H107"/>
  <c r="G107"/>
  <c r="F107"/>
  <c r="E107"/>
  <c r="D107"/>
  <c r="C107"/>
  <c r="B107"/>
  <c r="AB106"/>
  <c r="Y106"/>
  <c r="X106"/>
  <c r="W106"/>
  <c r="V106"/>
  <c r="U106"/>
  <c r="T106"/>
  <c r="S106"/>
  <c r="R106"/>
  <c r="Q106"/>
  <c r="P106"/>
  <c r="O106"/>
  <c r="N106"/>
  <c r="M106"/>
  <c r="L106"/>
  <c r="K106"/>
  <c r="J106"/>
  <c r="I106"/>
  <c r="H106"/>
  <c r="G106"/>
  <c r="F106"/>
  <c r="E106"/>
  <c r="D106"/>
  <c r="C106"/>
  <c r="B106"/>
  <c r="AB105"/>
  <c r="Y105"/>
  <c r="X105"/>
  <c r="W105"/>
  <c r="V105"/>
  <c r="U105"/>
  <c r="T105"/>
  <c r="S105"/>
  <c r="R105"/>
  <c r="Q105"/>
  <c r="P105"/>
  <c r="O105"/>
  <c r="N105"/>
  <c r="M105"/>
  <c r="L105"/>
  <c r="K105"/>
  <c r="J105"/>
  <c r="I105"/>
  <c r="H105"/>
  <c r="G105"/>
  <c r="F105"/>
  <c r="E105"/>
  <c r="D105"/>
  <c r="C105"/>
  <c r="B105"/>
  <c r="AB104"/>
  <c r="Y104"/>
  <c r="X104"/>
  <c r="W104"/>
  <c r="V104"/>
  <c r="U104"/>
  <c r="T104"/>
  <c r="S104"/>
  <c r="R104"/>
  <c r="Q104"/>
  <c r="P104"/>
  <c r="O104"/>
  <c r="N104"/>
  <c r="M104"/>
  <c r="L104"/>
  <c r="K104"/>
  <c r="J104"/>
  <c r="I104"/>
  <c r="H104"/>
  <c r="G104"/>
  <c r="F104"/>
  <c r="E104"/>
  <c r="D104"/>
  <c r="C104"/>
  <c r="B104"/>
  <c r="AB103"/>
  <c r="Y103"/>
  <c r="X103"/>
  <c r="W103"/>
  <c r="V103"/>
  <c r="U103"/>
  <c r="T103"/>
  <c r="S103"/>
  <c r="R103"/>
  <c r="Q103"/>
  <c r="P103"/>
  <c r="O103"/>
  <c r="N103"/>
  <c r="M103"/>
  <c r="L103"/>
  <c r="K103"/>
  <c r="J103"/>
  <c r="I103"/>
  <c r="H103"/>
  <c r="G103"/>
  <c r="F103"/>
  <c r="E103"/>
  <c r="D103"/>
  <c r="C103"/>
  <c r="B103"/>
  <c r="AB102"/>
  <c r="Y102"/>
  <c r="X102"/>
  <c r="W102"/>
  <c r="V102"/>
  <c r="U102"/>
  <c r="T102"/>
  <c r="S102"/>
  <c r="R102"/>
  <c r="Q102"/>
  <c r="P102"/>
  <c r="O102"/>
  <c r="N102"/>
  <c r="M102"/>
  <c r="L102"/>
  <c r="K102"/>
  <c r="J102"/>
  <c r="I102"/>
  <c r="H102"/>
  <c r="G102"/>
  <c r="F102"/>
  <c r="E102"/>
  <c r="D102"/>
  <c r="C102"/>
  <c r="B102"/>
  <c r="AB101"/>
  <c r="Y101"/>
  <c r="X101"/>
  <c r="W101"/>
  <c r="V101"/>
  <c r="U101"/>
  <c r="T101"/>
  <c r="S101"/>
  <c r="R101"/>
  <c r="Q101"/>
  <c r="P101"/>
  <c r="O101"/>
  <c r="N101"/>
  <c r="M101"/>
  <c r="L101"/>
  <c r="K101"/>
  <c r="J101"/>
  <c r="I101"/>
  <c r="H101"/>
  <c r="G101"/>
  <c r="F101"/>
  <c r="E101"/>
  <c r="D101"/>
  <c r="C101"/>
  <c r="B101"/>
  <c r="AB100"/>
  <c r="Y100"/>
  <c r="X100"/>
  <c r="W100"/>
  <c r="V100"/>
  <c r="U100"/>
  <c r="T100"/>
  <c r="S100"/>
  <c r="R100"/>
  <c r="Q100"/>
  <c r="P100"/>
  <c r="O100"/>
  <c r="N100"/>
  <c r="M100"/>
  <c r="L100"/>
  <c r="K100"/>
  <c r="J100"/>
  <c r="I100"/>
  <c r="H100"/>
  <c r="G100"/>
  <c r="F100"/>
  <c r="E100"/>
  <c r="D100"/>
  <c r="C100"/>
  <c r="B100"/>
  <c r="AB99"/>
  <c r="Y99"/>
  <c r="X99"/>
  <c r="W99"/>
  <c r="V99"/>
  <c r="U99"/>
  <c r="T99"/>
  <c r="S99"/>
  <c r="R99"/>
  <c r="Q99"/>
  <c r="P99"/>
  <c r="O99"/>
  <c r="N99"/>
  <c r="M99"/>
  <c r="L99"/>
  <c r="K99"/>
  <c r="J99"/>
  <c r="I99"/>
  <c r="H99"/>
  <c r="G99"/>
  <c r="F99"/>
  <c r="E99"/>
  <c r="D99"/>
  <c r="C99"/>
  <c r="B99"/>
  <c r="AB98"/>
  <c r="Y98"/>
  <c r="X98"/>
  <c r="W98"/>
  <c r="V98"/>
  <c r="U98"/>
  <c r="T98"/>
  <c r="S98"/>
  <c r="R98"/>
  <c r="Q98"/>
  <c r="P98"/>
  <c r="O98"/>
  <c r="N98"/>
  <c r="M98"/>
  <c r="L98"/>
  <c r="K98"/>
  <c r="J98"/>
  <c r="I98"/>
  <c r="H98"/>
  <c r="G98"/>
  <c r="F98"/>
  <c r="E98"/>
  <c r="D98"/>
  <c r="C98"/>
  <c r="B98"/>
  <c r="AB97"/>
  <c r="Y97"/>
  <c r="X97"/>
  <c r="W97"/>
  <c r="V97"/>
  <c r="U97"/>
  <c r="T97"/>
  <c r="S97"/>
  <c r="R97"/>
  <c r="Q97"/>
  <c r="P97"/>
  <c r="O97"/>
  <c r="N97"/>
  <c r="M97"/>
  <c r="L97"/>
  <c r="K97"/>
  <c r="J97"/>
  <c r="I97"/>
  <c r="H97"/>
  <c r="G97"/>
  <c r="F97"/>
  <c r="E97"/>
  <c r="D97"/>
  <c r="C97"/>
  <c r="B97"/>
  <c r="AB96"/>
  <c r="Y96"/>
  <c r="X96"/>
  <c r="W96"/>
  <c r="V96"/>
  <c r="U96"/>
  <c r="T96"/>
  <c r="S96"/>
  <c r="R96"/>
  <c r="Q96"/>
  <c r="P96"/>
  <c r="O96"/>
  <c r="N96"/>
  <c r="M96"/>
  <c r="L96"/>
  <c r="K96"/>
  <c r="J96"/>
  <c r="I96"/>
  <c r="H96"/>
  <c r="G96"/>
  <c r="F96"/>
  <c r="E96"/>
  <c r="D96"/>
  <c r="C96"/>
  <c r="B96"/>
  <c r="AB95"/>
  <c r="Y95"/>
  <c r="X95"/>
  <c r="W95"/>
  <c r="V95"/>
  <c r="U95"/>
  <c r="T95"/>
  <c r="S95"/>
  <c r="R95"/>
  <c r="Q95"/>
  <c r="P95"/>
  <c r="O95"/>
  <c r="N95"/>
  <c r="M95"/>
  <c r="L95"/>
  <c r="K95"/>
  <c r="J95"/>
  <c r="I95"/>
  <c r="H95"/>
  <c r="G95"/>
  <c r="F95"/>
  <c r="E95"/>
  <c r="D95"/>
  <c r="C95"/>
  <c r="B95"/>
  <c r="AB94"/>
  <c r="Y94"/>
  <c r="X94"/>
  <c r="W94"/>
  <c r="V94"/>
  <c r="U94"/>
  <c r="T94"/>
  <c r="S94"/>
  <c r="R94"/>
  <c r="Q94"/>
  <c r="P94"/>
  <c r="O94"/>
  <c r="N94"/>
  <c r="M94"/>
  <c r="L94"/>
  <c r="K94"/>
  <c r="J94"/>
  <c r="I94"/>
  <c r="H94"/>
  <c r="G94"/>
  <c r="F94"/>
  <c r="E94"/>
  <c r="D94"/>
  <c r="C94"/>
  <c r="B94"/>
  <c r="AB93"/>
  <c r="Y93"/>
  <c r="X93"/>
  <c r="W93"/>
  <c r="V93"/>
  <c r="U93"/>
  <c r="T93"/>
  <c r="S93"/>
  <c r="R93"/>
  <c r="Q93"/>
  <c r="P93"/>
  <c r="O93"/>
  <c r="N93"/>
  <c r="M93"/>
  <c r="L93"/>
  <c r="K93"/>
  <c r="J93"/>
  <c r="I93"/>
  <c r="H93"/>
  <c r="G93"/>
  <c r="F93"/>
  <c r="E93"/>
  <c r="D93"/>
  <c r="C93"/>
  <c r="B93"/>
  <c r="AB92"/>
  <c r="Y92"/>
  <c r="X92"/>
  <c r="W92"/>
  <c r="V92"/>
  <c r="U92"/>
  <c r="T92"/>
  <c r="S92"/>
  <c r="R92"/>
  <c r="Q92"/>
  <c r="P92"/>
  <c r="O92"/>
  <c r="N92"/>
  <c r="M92"/>
  <c r="L92"/>
  <c r="K92"/>
  <c r="J92"/>
  <c r="I92"/>
  <c r="H92"/>
  <c r="G92"/>
  <c r="F92"/>
  <c r="E92"/>
  <c r="D92"/>
  <c r="C92"/>
  <c r="B92"/>
  <c r="AB91"/>
  <c r="Y91"/>
  <c r="X91"/>
  <c r="W91"/>
  <c r="V91"/>
  <c r="U91"/>
  <c r="T91"/>
  <c r="S91"/>
  <c r="R91"/>
  <c r="Q91"/>
  <c r="P91"/>
  <c r="O91"/>
  <c r="N91"/>
  <c r="M91"/>
  <c r="L91"/>
  <c r="K91"/>
  <c r="J91"/>
  <c r="I91"/>
  <c r="H91"/>
  <c r="G91"/>
  <c r="F91"/>
  <c r="E91"/>
  <c r="D91"/>
  <c r="C91"/>
  <c r="B91"/>
  <c r="AB90"/>
  <c r="Y90"/>
  <c r="X90"/>
  <c r="W90"/>
  <c r="V90"/>
  <c r="U90"/>
  <c r="T90"/>
  <c r="S90"/>
  <c r="R90"/>
  <c r="Q90"/>
  <c r="P90"/>
  <c r="O90"/>
  <c r="N90"/>
  <c r="M90"/>
  <c r="L90"/>
  <c r="K90"/>
  <c r="J90"/>
  <c r="I90"/>
  <c r="H90"/>
  <c r="G90"/>
  <c r="F90"/>
  <c r="E90"/>
  <c r="D90"/>
  <c r="C90"/>
  <c r="B90"/>
  <c r="AC85"/>
  <c r="P85"/>
  <c r="AC84"/>
  <c r="B84"/>
  <c r="M81"/>
  <c r="E81"/>
  <c r="M80"/>
  <c r="E80"/>
  <c r="AB79"/>
  <c r="Y79"/>
  <c r="X79"/>
  <c r="W79"/>
  <c r="V79"/>
  <c r="U79"/>
  <c r="T79"/>
  <c r="S79"/>
  <c r="R79"/>
  <c r="Q79"/>
  <c r="N79"/>
  <c r="M79"/>
  <c r="J79"/>
  <c r="I79"/>
  <c r="H79"/>
  <c r="G79"/>
  <c r="D79"/>
  <c r="C79"/>
  <c r="B79"/>
  <c r="AB78"/>
  <c r="Y78"/>
  <c r="X78"/>
  <c r="W78"/>
  <c r="V78"/>
  <c r="U78"/>
  <c r="T78"/>
  <c r="S78"/>
  <c r="R78"/>
  <c r="Q78"/>
  <c r="N78"/>
  <c r="M78"/>
  <c r="J78"/>
  <c r="I78"/>
  <c r="H78"/>
  <c r="G78"/>
  <c r="D78"/>
  <c r="C78"/>
  <c r="B78"/>
  <c r="AB77"/>
  <c r="Y77"/>
  <c r="X77"/>
  <c r="W77"/>
  <c r="V77"/>
  <c r="U77"/>
  <c r="T77"/>
  <c r="S77"/>
  <c r="R77"/>
  <c r="Q77"/>
  <c r="N77"/>
  <c r="M77"/>
  <c r="J77"/>
  <c r="I77"/>
  <c r="H77"/>
  <c r="G77"/>
  <c r="D77"/>
  <c r="C77"/>
  <c r="B77"/>
  <c r="AB76"/>
  <c r="Y76"/>
  <c r="X76"/>
  <c r="W76"/>
  <c r="V76"/>
  <c r="U76"/>
  <c r="T76"/>
  <c r="S76"/>
  <c r="R76"/>
  <c r="Q76"/>
  <c r="N76"/>
  <c r="M76"/>
  <c r="J76"/>
  <c r="I76"/>
  <c r="H76"/>
  <c r="G76"/>
  <c r="D76"/>
  <c r="C76"/>
  <c r="B76"/>
  <c r="AB75"/>
  <c r="Y75"/>
  <c r="X75"/>
  <c r="W75"/>
  <c r="V75"/>
  <c r="U75"/>
  <c r="T75"/>
  <c r="S75"/>
  <c r="R75"/>
  <c r="Q75"/>
  <c r="N75"/>
  <c r="M75"/>
  <c r="J75"/>
  <c r="I75"/>
  <c r="H75"/>
  <c r="G75"/>
  <c r="D75"/>
  <c r="C75"/>
  <c r="B75"/>
  <c r="AB74"/>
  <c r="Y74"/>
  <c r="X74"/>
  <c r="W74"/>
  <c r="V74"/>
  <c r="U74"/>
  <c r="T74"/>
  <c r="S74"/>
  <c r="R74"/>
  <c r="Q74"/>
  <c r="N74"/>
  <c r="M74"/>
  <c r="J74"/>
  <c r="I74"/>
  <c r="H74"/>
  <c r="G74"/>
  <c r="D74"/>
  <c r="C74"/>
  <c r="B74"/>
  <c r="AB73"/>
  <c r="Y73"/>
  <c r="X73"/>
  <c r="W73"/>
  <c r="V73"/>
  <c r="U73"/>
  <c r="T73"/>
  <c r="S73"/>
  <c r="R73"/>
  <c r="Q73"/>
  <c r="N73"/>
  <c r="M73"/>
  <c r="J73"/>
  <c r="I73"/>
  <c r="H73"/>
  <c r="G73"/>
  <c r="D73"/>
  <c r="C73"/>
  <c r="B73"/>
  <c r="AB72"/>
  <c r="Y72"/>
  <c r="X72"/>
  <c r="W72"/>
  <c r="V72"/>
  <c r="U72"/>
  <c r="T72"/>
  <c r="S72"/>
  <c r="R72"/>
  <c r="Q72"/>
  <c r="N72"/>
  <c r="M72"/>
  <c r="J72"/>
  <c r="I72"/>
  <c r="H72"/>
  <c r="G72"/>
  <c r="D72"/>
  <c r="C72"/>
  <c r="B72"/>
  <c r="AB71"/>
  <c r="Y71"/>
  <c r="X71"/>
  <c r="W71"/>
  <c r="V71"/>
  <c r="U71"/>
  <c r="T71"/>
  <c r="S71"/>
  <c r="R71"/>
  <c r="Q71"/>
  <c r="N71"/>
  <c r="M71"/>
  <c r="J71"/>
  <c r="I71"/>
  <c r="H71"/>
  <c r="G71"/>
  <c r="D71"/>
  <c r="C71"/>
  <c r="B71"/>
  <c r="AB70"/>
  <c r="Y70"/>
  <c r="X70"/>
  <c r="W70"/>
  <c r="V70"/>
  <c r="U70"/>
  <c r="T70"/>
  <c r="S70"/>
  <c r="R70"/>
  <c r="Q70"/>
  <c r="N70"/>
  <c r="M70"/>
  <c r="J70"/>
  <c r="I70"/>
  <c r="H70"/>
  <c r="G70"/>
  <c r="D70"/>
  <c r="C70"/>
  <c r="B70"/>
  <c r="AB69"/>
  <c r="Y69"/>
  <c r="X69"/>
  <c r="W69"/>
  <c r="V69"/>
  <c r="U69"/>
  <c r="T69"/>
  <c r="S69"/>
  <c r="R69"/>
  <c r="Q69"/>
  <c r="N69"/>
  <c r="M69"/>
  <c r="J69"/>
  <c r="I69"/>
  <c r="H69"/>
  <c r="G69"/>
  <c r="D69"/>
  <c r="C69"/>
  <c r="B69"/>
  <c r="AB68"/>
  <c r="Y68"/>
  <c r="X68"/>
  <c r="W68"/>
  <c r="V68"/>
  <c r="U68"/>
  <c r="T68"/>
  <c r="S68"/>
  <c r="R68"/>
  <c r="Q68"/>
  <c r="N68"/>
  <c r="M68"/>
  <c r="J68"/>
  <c r="I68"/>
  <c r="H68"/>
  <c r="G68"/>
  <c r="D68"/>
  <c r="C68"/>
  <c r="B68"/>
  <c r="AB67"/>
  <c r="Y67"/>
  <c r="X67"/>
  <c r="W67"/>
  <c r="V67"/>
  <c r="U67"/>
  <c r="T67"/>
  <c r="S67"/>
  <c r="R67"/>
  <c r="Q67"/>
  <c r="N67"/>
  <c r="M67"/>
  <c r="J67"/>
  <c r="I67"/>
  <c r="H67"/>
  <c r="G67"/>
  <c r="D67"/>
  <c r="C67"/>
  <c r="B67"/>
  <c r="AB66"/>
  <c r="Y66"/>
  <c r="X66"/>
  <c r="W66"/>
  <c r="V66"/>
  <c r="U66"/>
  <c r="T66"/>
  <c r="S66"/>
  <c r="R66"/>
  <c r="Q66"/>
  <c r="N66"/>
  <c r="M66"/>
  <c r="J66"/>
  <c r="I66"/>
  <c r="H66"/>
  <c r="G66"/>
  <c r="D66"/>
  <c r="C66"/>
  <c r="B66"/>
  <c r="AB65"/>
  <c r="Y65"/>
  <c r="X65"/>
  <c r="W65"/>
  <c r="V65"/>
  <c r="U65"/>
  <c r="T65"/>
  <c r="S65"/>
  <c r="R65"/>
  <c r="Q65"/>
  <c r="N65"/>
  <c r="M65"/>
  <c r="J65"/>
  <c r="I65"/>
  <c r="H65"/>
  <c r="G65"/>
  <c r="D65"/>
  <c r="C65"/>
  <c r="B65"/>
  <c r="AB64"/>
  <c r="Y64"/>
  <c r="X64"/>
  <c r="W64"/>
  <c r="V64"/>
  <c r="U64"/>
  <c r="T64"/>
  <c r="S64"/>
  <c r="R64"/>
  <c r="Q64"/>
  <c r="N64"/>
  <c r="M64"/>
  <c r="J64"/>
  <c r="I64"/>
  <c r="H64"/>
  <c r="G64"/>
  <c r="D64"/>
  <c r="C64"/>
  <c r="B64"/>
  <c r="AB63"/>
  <c r="Y63"/>
  <c r="X63"/>
  <c r="W63"/>
  <c r="V63"/>
  <c r="U63"/>
  <c r="T63"/>
  <c r="S63"/>
  <c r="R63"/>
  <c r="Q63"/>
  <c r="N63"/>
  <c r="M63"/>
  <c r="J63"/>
  <c r="I63"/>
  <c r="H63"/>
  <c r="G63"/>
  <c r="D63"/>
  <c r="C63"/>
  <c r="B63"/>
  <c r="AB62"/>
  <c r="Y62"/>
  <c r="X62"/>
  <c r="W62"/>
  <c r="V62"/>
  <c r="U62"/>
  <c r="T62"/>
  <c r="S62"/>
  <c r="R62"/>
  <c r="Q62"/>
  <c r="N62"/>
  <c r="M62"/>
  <c r="J62"/>
  <c r="I62"/>
  <c r="H62"/>
  <c r="G62"/>
  <c r="D62"/>
  <c r="C62"/>
  <c r="B62"/>
  <c r="AB61"/>
  <c r="Y61"/>
  <c r="X61"/>
  <c r="W61"/>
  <c r="V61"/>
  <c r="U61"/>
  <c r="T61"/>
  <c r="S61"/>
  <c r="R61"/>
  <c r="Q61"/>
  <c r="N61"/>
  <c r="M61"/>
  <c r="J61"/>
  <c r="I61"/>
  <c r="H61"/>
  <c r="G61"/>
  <c r="D61"/>
  <c r="C61"/>
  <c r="B61"/>
  <c r="AB60"/>
  <c r="Y60"/>
  <c r="X60"/>
  <c r="W60"/>
  <c r="V60"/>
  <c r="U60"/>
  <c r="T60"/>
  <c r="S60"/>
  <c r="R60"/>
  <c r="Q60"/>
  <c r="N60"/>
  <c r="M60"/>
  <c r="J60"/>
  <c r="I60"/>
  <c r="H60"/>
  <c r="G60"/>
  <c r="D60"/>
  <c r="C60"/>
  <c r="B60"/>
  <c r="AB59"/>
  <c r="Y59"/>
  <c r="X59"/>
  <c r="W59"/>
  <c r="V59"/>
  <c r="U59"/>
  <c r="T59"/>
  <c r="S59"/>
  <c r="R59"/>
  <c r="Q59"/>
  <c r="N59"/>
  <c r="M59"/>
  <c r="J59"/>
  <c r="I59"/>
  <c r="H59"/>
  <c r="G59"/>
  <c r="D59"/>
  <c r="C59"/>
  <c r="B59"/>
  <c r="AB58"/>
  <c r="Y58"/>
  <c r="X58"/>
  <c r="W58"/>
  <c r="V58"/>
  <c r="U58"/>
  <c r="T58"/>
  <c r="S58"/>
  <c r="R58"/>
  <c r="Q58"/>
  <c r="N58"/>
  <c r="M58"/>
  <c r="J58"/>
  <c r="I58"/>
  <c r="H58"/>
  <c r="G58"/>
  <c r="D58"/>
  <c r="C58"/>
  <c r="B58"/>
  <c r="AB57"/>
  <c r="Y57"/>
  <c r="X57"/>
  <c r="W57"/>
  <c r="V57"/>
  <c r="U57"/>
  <c r="T57"/>
  <c r="S57"/>
  <c r="R57"/>
  <c r="Q57"/>
  <c r="N57"/>
  <c r="M57"/>
  <c r="J57"/>
  <c r="I57"/>
  <c r="H57"/>
  <c r="G57"/>
  <c r="D57"/>
  <c r="C57"/>
  <c r="B57"/>
  <c r="AB56"/>
  <c r="Y56"/>
  <c r="X56"/>
  <c r="W56"/>
  <c r="V56"/>
  <c r="U56"/>
  <c r="T56"/>
  <c r="S56"/>
  <c r="R56"/>
  <c r="Q56"/>
  <c r="N56"/>
  <c r="M56"/>
  <c r="J56"/>
  <c r="I56"/>
  <c r="H56"/>
  <c r="G56"/>
  <c r="D56"/>
  <c r="C56"/>
  <c r="B56"/>
  <c r="AB55"/>
  <c r="Y55"/>
  <c r="X55"/>
  <c r="W55"/>
  <c r="V55"/>
  <c r="U55"/>
  <c r="T55"/>
  <c r="S55"/>
  <c r="R55"/>
  <c r="Q55"/>
  <c r="N55"/>
  <c r="M55"/>
  <c r="J55"/>
  <c r="I55"/>
  <c r="H55"/>
  <c r="G55"/>
  <c r="D55"/>
  <c r="C55"/>
  <c r="B55"/>
  <c r="AB54"/>
  <c r="Y54"/>
  <c r="X54"/>
  <c r="W54"/>
  <c r="V54"/>
  <c r="U54"/>
  <c r="T54"/>
  <c r="S54"/>
  <c r="R54"/>
  <c r="Q54"/>
  <c r="N54"/>
  <c r="M54"/>
  <c r="J54"/>
  <c r="I54"/>
  <c r="H54"/>
  <c r="G54"/>
  <c r="D54"/>
  <c r="C54"/>
  <c r="B54"/>
  <c r="AB53"/>
  <c r="Y53"/>
  <c r="X53"/>
  <c r="W53"/>
  <c r="V53"/>
  <c r="U53"/>
  <c r="T53"/>
  <c r="S53"/>
  <c r="R53"/>
  <c r="Q53"/>
  <c r="N53"/>
  <c r="M53"/>
  <c r="J53"/>
  <c r="I53"/>
  <c r="H53"/>
  <c r="G53"/>
  <c r="D53"/>
  <c r="C53"/>
  <c r="B53"/>
  <c r="AB52"/>
  <c r="Y52"/>
  <c r="X52"/>
  <c r="W52"/>
  <c r="V52"/>
  <c r="U52"/>
  <c r="T52"/>
  <c r="S52"/>
  <c r="R52"/>
  <c r="Q52"/>
  <c r="N52"/>
  <c r="M52"/>
  <c r="J52"/>
  <c r="I52"/>
  <c r="H52"/>
  <c r="G52"/>
  <c r="D52"/>
  <c r="C52"/>
  <c r="B52"/>
  <c r="AB51"/>
  <c r="Y51"/>
  <c r="X51"/>
  <c r="W51"/>
  <c r="V51"/>
  <c r="U51"/>
  <c r="T51"/>
  <c r="S51"/>
  <c r="R51"/>
  <c r="Q51"/>
  <c r="N51"/>
  <c r="M51"/>
  <c r="J51"/>
  <c r="I51"/>
  <c r="H51"/>
  <c r="G51"/>
  <c r="D51"/>
  <c r="C51"/>
  <c r="B51"/>
  <c r="AB50"/>
  <c r="Y50"/>
  <c r="X50"/>
  <c r="W50"/>
  <c r="V50"/>
  <c r="U50"/>
  <c r="T50"/>
  <c r="S50"/>
  <c r="R50"/>
  <c r="Q50"/>
  <c r="N50"/>
  <c r="M50"/>
  <c r="J50"/>
  <c r="I50"/>
  <c r="H50"/>
  <c r="G50"/>
  <c r="D50"/>
  <c r="C50"/>
  <c r="B50"/>
  <c r="AB49"/>
  <c r="Y49"/>
  <c r="X49"/>
  <c r="W49"/>
  <c r="V49"/>
  <c r="U49"/>
  <c r="T49"/>
  <c r="S49"/>
  <c r="R49"/>
  <c r="Q49"/>
  <c r="N49"/>
  <c r="M49"/>
  <c r="J49"/>
  <c r="I49"/>
  <c r="H49"/>
  <c r="G49"/>
  <c r="D49"/>
  <c r="C49"/>
  <c r="B49"/>
  <c r="AC44"/>
  <c r="P44"/>
  <c r="AC43"/>
  <c r="B43"/>
  <c r="W40"/>
  <c r="M40"/>
  <c r="E40"/>
  <c r="W39"/>
  <c r="M39"/>
  <c r="E39"/>
  <c r="AB38"/>
  <c r="Y38"/>
  <c r="X38"/>
  <c r="W38"/>
  <c r="V38"/>
  <c r="U38"/>
  <c r="T38"/>
  <c r="S38"/>
  <c r="R38"/>
  <c r="Q38"/>
  <c r="P38"/>
  <c r="O38"/>
  <c r="N38"/>
  <c r="M38"/>
  <c r="L38"/>
  <c r="K38"/>
  <c r="J38"/>
  <c r="I38"/>
  <c r="H38"/>
  <c r="G38"/>
  <c r="F38"/>
  <c r="E38"/>
  <c r="D38"/>
  <c r="C38"/>
  <c r="B38"/>
  <c r="AB37"/>
  <c r="Y37"/>
  <c r="X37"/>
  <c r="W37"/>
  <c r="V37"/>
  <c r="U37"/>
  <c r="T37"/>
  <c r="S37"/>
  <c r="R37"/>
  <c r="Q37"/>
  <c r="P37"/>
  <c r="O37"/>
  <c r="N37"/>
  <c r="M37"/>
  <c r="L37"/>
  <c r="K37"/>
  <c r="J37"/>
  <c r="I37"/>
  <c r="H37"/>
  <c r="G37"/>
  <c r="F37"/>
  <c r="E37"/>
  <c r="D37"/>
  <c r="C37"/>
  <c r="B37"/>
  <c r="AB36"/>
  <c r="Y36"/>
  <c r="X36"/>
  <c r="W36"/>
  <c r="V36"/>
  <c r="U36"/>
  <c r="T36"/>
  <c r="S36"/>
  <c r="R36"/>
  <c r="Q36"/>
  <c r="P36"/>
  <c r="O36"/>
  <c r="N36"/>
  <c r="M36"/>
  <c r="L36"/>
  <c r="K36"/>
  <c r="J36"/>
  <c r="I36"/>
  <c r="H36"/>
  <c r="G36"/>
  <c r="F36"/>
  <c r="E36"/>
  <c r="D36"/>
  <c r="C36"/>
  <c r="B36"/>
  <c r="AB35"/>
  <c r="Y35"/>
  <c r="X35"/>
  <c r="W35"/>
  <c r="V35"/>
  <c r="U35"/>
  <c r="T35"/>
  <c r="S35"/>
  <c r="R35"/>
  <c r="Q35"/>
  <c r="P35"/>
  <c r="O35"/>
  <c r="N35"/>
  <c r="M35"/>
  <c r="L35"/>
  <c r="K35"/>
  <c r="J35"/>
  <c r="I35"/>
  <c r="H35"/>
  <c r="G35"/>
  <c r="F35"/>
  <c r="E35"/>
  <c r="D35"/>
  <c r="C35"/>
  <c r="B35"/>
  <c r="AB34"/>
  <c r="Y34"/>
  <c r="X34"/>
  <c r="W34"/>
  <c r="V34"/>
  <c r="U34"/>
  <c r="T34"/>
  <c r="S34"/>
  <c r="R34"/>
  <c r="Q34"/>
  <c r="P34"/>
  <c r="O34"/>
  <c r="N34"/>
  <c r="M34"/>
  <c r="L34"/>
  <c r="K34"/>
  <c r="J34"/>
  <c r="I34"/>
  <c r="H34"/>
  <c r="G34"/>
  <c r="F34"/>
  <c r="E34"/>
  <c r="D34"/>
  <c r="C34"/>
  <c r="B34"/>
  <c r="AB33"/>
  <c r="Y33"/>
  <c r="X33"/>
  <c r="W33"/>
  <c r="V33"/>
  <c r="U33"/>
  <c r="T33"/>
  <c r="S33"/>
  <c r="R33"/>
  <c r="Q33"/>
  <c r="P33"/>
  <c r="O33"/>
  <c r="N33"/>
  <c r="M33"/>
  <c r="L33"/>
  <c r="K33"/>
  <c r="J33"/>
  <c r="I33"/>
  <c r="H33"/>
  <c r="G33"/>
  <c r="F33"/>
  <c r="E33"/>
  <c r="D33"/>
  <c r="C33"/>
  <c r="B33"/>
  <c r="AB32"/>
  <c r="Y32"/>
  <c r="X32"/>
  <c r="W32"/>
  <c r="V32"/>
  <c r="U32"/>
  <c r="T32"/>
  <c r="S32"/>
  <c r="R32"/>
  <c r="Q32"/>
  <c r="P32"/>
  <c r="O32"/>
  <c r="N32"/>
  <c r="M32"/>
  <c r="L32"/>
  <c r="K32"/>
  <c r="J32"/>
  <c r="I32"/>
  <c r="H32"/>
  <c r="G32"/>
  <c r="F32"/>
  <c r="E32"/>
  <c r="D32"/>
  <c r="C32"/>
  <c r="B32"/>
  <c r="AB31"/>
  <c r="Y31"/>
  <c r="X31"/>
  <c r="W31"/>
  <c r="V31"/>
  <c r="U31"/>
  <c r="T31"/>
  <c r="S31"/>
  <c r="R31"/>
  <c r="Q31"/>
  <c r="P31"/>
  <c r="O31"/>
  <c r="N31"/>
  <c r="M31"/>
  <c r="L31"/>
  <c r="K31"/>
  <c r="J31"/>
  <c r="I31"/>
  <c r="H31"/>
  <c r="G31"/>
  <c r="F31"/>
  <c r="E31"/>
  <c r="D31"/>
  <c r="C31"/>
  <c r="B31"/>
  <c r="AB30"/>
  <c r="Y30"/>
  <c r="X30"/>
  <c r="W30"/>
  <c r="V30"/>
  <c r="U30"/>
  <c r="T30"/>
  <c r="S30"/>
  <c r="R30"/>
  <c r="Q30"/>
  <c r="P30"/>
  <c r="O30"/>
  <c r="N30"/>
  <c r="M30"/>
  <c r="L30"/>
  <c r="K30"/>
  <c r="J30"/>
  <c r="I30"/>
  <c r="H30"/>
  <c r="G30"/>
  <c r="F30"/>
  <c r="E30"/>
  <c r="D30"/>
  <c r="C30"/>
  <c r="B30"/>
  <c r="AB29"/>
  <c r="Y29"/>
  <c r="X29"/>
  <c r="W29"/>
  <c r="V29"/>
  <c r="U29"/>
  <c r="T29"/>
  <c r="S29"/>
  <c r="R29"/>
  <c r="Q29"/>
  <c r="P29"/>
  <c r="O29"/>
  <c r="N29"/>
  <c r="M29"/>
  <c r="L29"/>
  <c r="K29"/>
  <c r="J29"/>
  <c r="I29"/>
  <c r="H29"/>
  <c r="G29"/>
  <c r="F29"/>
  <c r="E29"/>
  <c r="D29"/>
  <c r="C29"/>
  <c r="B29"/>
  <c r="AB28"/>
  <c r="Y28"/>
  <c r="X28"/>
  <c r="W28"/>
  <c r="V28"/>
  <c r="U28"/>
  <c r="T28"/>
  <c r="S28"/>
  <c r="R28"/>
  <c r="Q28"/>
  <c r="P28"/>
  <c r="O28"/>
  <c r="N28"/>
  <c r="M28"/>
  <c r="L28"/>
  <c r="K28"/>
  <c r="J28"/>
  <c r="I28"/>
  <c r="H28"/>
  <c r="G28"/>
  <c r="F28"/>
  <c r="E28"/>
  <c r="D28"/>
  <c r="C28"/>
  <c r="B28"/>
  <c r="AB27"/>
  <c r="Y27"/>
  <c r="X27"/>
  <c r="W27"/>
  <c r="V27"/>
  <c r="U27"/>
  <c r="T27"/>
  <c r="S27"/>
  <c r="R27"/>
  <c r="Q27"/>
  <c r="P27"/>
  <c r="O27"/>
  <c r="N27"/>
  <c r="M27"/>
  <c r="L27"/>
  <c r="K27"/>
  <c r="J27"/>
  <c r="I27"/>
  <c r="H27"/>
  <c r="G27"/>
  <c r="F27"/>
  <c r="E27"/>
  <c r="D27"/>
  <c r="C27"/>
  <c r="B27"/>
  <c r="AB26"/>
  <c r="Y26"/>
  <c r="X26"/>
  <c r="W26"/>
  <c r="V26"/>
  <c r="U26"/>
  <c r="T26"/>
  <c r="S26"/>
  <c r="R26"/>
  <c r="Q26"/>
  <c r="P26"/>
  <c r="O26"/>
  <c r="N26"/>
  <c r="M26"/>
  <c r="L26"/>
  <c r="K26"/>
  <c r="J26"/>
  <c r="I26"/>
  <c r="H26"/>
  <c r="G26"/>
  <c r="F26"/>
  <c r="E26"/>
  <c r="D26"/>
  <c r="C26"/>
  <c r="B26"/>
  <c r="AB25"/>
  <c r="Y25"/>
  <c r="X25"/>
  <c r="W25"/>
  <c r="V25"/>
  <c r="U25"/>
  <c r="T25"/>
  <c r="S25"/>
  <c r="R25"/>
  <c r="Q25"/>
  <c r="P25"/>
  <c r="O25"/>
  <c r="N25"/>
  <c r="M25"/>
  <c r="L25"/>
  <c r="K25"/>
  <c r="J25"/>
  <c r="I25"/>
  <c r="H25"/>
  <c r="G25"/>
  <c r="F25"/>
  <c r="E25"/>
  <c r="D25"/>
  <c r="C25"/>
  <c r="B25"/>
  <c r="AB24"/>
  <c r="Y24"/>
  <c r="X24"/>
  <c r="W24"/>
  <c r="V24"/>
  <c r="U24"/>
  <c r="T24"/>
  <c r="S24"/>
  <c r="R24"/>
  <c r="Q24"/>
  <c r="P24"/>
  <c r="O24"/>
  <c r="N24"/>
  <c r="M24"/>
  <c r="L24"/>
  <c r="K24"/>
  <c r="J24"/>
  <c r="I24"/>
  <c r="H24"/>
  <c r="G24"/>
  <c r="F24"/>
  <c r="E24"/>
  <c r="D24"/>
  <c r="C24"/>
  <c r="B24"/>
  <c r="AB23"/>
  <c r="Y23"/>
  <c r="X23"/>
  <c r="W23"/>
  <c r="V23"/>
  <c r="U23"/>
  <c r="T23"/>
  <c r="S23"/>
  <c r="R23"/>
  <c r="Q23"/>
  <c r="P23"/>
  <c r="O23"/>
  <c r="N23"/>
  <c r="M23"/>
  <c r="L23"/>
  <c r="K23"/>
  <c r="J23"/>
  <c r="I23"/>
  <c r="H23"/>
  <c r="G23"/>
  <c r="F23"/>
  <c r="E23"/>
  <c r="D23"/>
  <c r="C23"/>
  <c r="B23"/>
  <c r="AB22"/>
  <c r="Y22"/>
  <c r="X22"/>
  <c r="W22"/>
  <c r="V22"/>
  <c r="U22"/>
  <c r="T22"/>
  <c r="S22"/>
  <c r="R22"/>
  <c r="Q22"/>
  <c r="P22"/>
  <c r="O22"/>
  <c r="N22"/>
  <c r="M22"/>
  <c r="L22"/>
  <c r="K22"/>
  <c r="J22"/>
  <c r="I22"/>
  <c r="H22"/>
  <c r="G22"/>
  <c r="F22"/>
  <c r="E22"/>
  <c r="D22"/>
  <c r="C22"/>
  <c r="B22"/>
  <c r="AB21"/>
  <c r="Y21"/>
  <c r="X21"/>
  <c r="W21"/>
  <c r="V21"/>
  <c r="U21"/>
  <c r="T21"/>
  <c r="S21"/>
  <c r="R21"/>
  <c r="Q21"/>
  <c r="P21"/>
  <c r="O21"/>
  <c r="N21"/>
  <c r="M21"/>
  <c r="L21"/>
  <c r="K21"/>
  <c r="J21"/>
  <c r="I21"/>
  <c r="H21"/>
  <c r="G21"/>
  <c r="F21"/>
  <c r="E21"/>
  <c r="D21"/>
  <c r="C21"/>
  <c r="B21"/>
  <c r="AB20"/>
  <c r="Y20"/>
  <c r="X20"/>
  <c r="W20"/>
  <c r="V20"/>
  <c r="U20"/>
  <c r="T20"/>
  <c r="S20"/>
  <c r="R20"/>
  <c r="Q20"/>
  <c r="P20"/>
  <c r="O20"/>
  <c r="N20"/>
  <c r="M20"/>
  <c r="L20"/>
  <c r="K20"/>
  <c r="J20"/>
  <c r="I20"/>
  <c r="H20"/>
  <c r="G20"/>
  <c r="F20"/>
  <c r="E20"/>
  <c r="D20"/>
  <c r="C20"/>
  <c r="B20"/>
  <c r="AB19"/>
  <c r="Y19"/>
  <c r="X19"/>
  <c r="W19"/>
  <c r="V19"/>
  <c r="U19"/>
  <c r="T19"/>
  <c r="S19"/>
  <c r="R19"/>
  <c r="Q19"/>
  <c r="P19"/>
  <c r="O19"/>
  <c r="N19"/>
  <c r="M19"/>
  <c r="L19"/>
  <c r="K19"/>
  <c r="J19"/>
  <c r="I19"/>
  <c r="H19"/>
  <c r="G19"/>
  <c r="F19"/>
  <c r="E19"/>
  <c r="D19"/>
  <c r="C19"/>
  <c r="B19"/>
  <c r="AB18"/>
  <c r="Y18"/>
  <c r="X18"/>
  <c r="W18"/>
  <c r="V18"/>
  <c r="U18"/>
  <c r="T18"/>
  <c r="S18"/>
  <c r="R18"/>
  <c r="Q18"/>
  <c r="P18"/>
  <c r="O18"/>
  <c r="N18"/>
  <c r="M18"/>
  <c r="L18"/>
  <c r="K18"/>
  <c r="J18"/>
  <c r="I18"/>
  <c r="H18"/>
  <c r="G18"/>
  <c r="F18"/>
  <c r="E18"/>
  <c r="D18"/>
  <c r="C18"/>
  <c r="B18"/>
  <c r="AB17"/>
  <c r="Y17"/>
  <c r="X17"/>
  <c r="W17"/>
  <c r="V17"/>
  <c r="U17"/>
  <c r="T17"/>
  <c r="S17"/>
  <c r="R17"/>
  <c r="Q17"/>
  <c r="P17"/>
  <c r="O17"/>
  <c r="N17"/>
  <c r="M17"/>
  <c r="L17"/>
  <c r="K17"/>
  <c r="J17"/>
  <c r="I17"/>
  <c r="H17"/>
  <c r="G17"/>
  <c r="F17"/>
  <c r="E17"/>
  <c r="D17"/>
  <c r="C17"/>
  <c r="B17"/>
  <c r="AB16"/>
  <c r="Y16"/>
  <c r="X16"/>
  <c r="W16"/>
  <c r="V16"/>
  <c r="U16"/>
  <c r="T16"/>
  <c r="S16"/>
  <c r="R16"/>
  <c r="Q16"/>
  <c r="P16"/>
  <c r="O16"/>
  <c r="N16"/>
  <c r="M16"/>
  <c r="L16"/>
  <c r="K16"/>
  <c r="J16"/>
  <c r="I16"/>
  <c r="H16"/>
  <c r="G16"/>
  <c r="F16"/>
  <c r="E16"/>
  <c r="D16"/>
  <c r="C16"/>
  <c r="B16"/>
  <c r="AB15"/>
  <c r="Y15"/>
  <c r="X15"/>
  <c r="W15"/>
  <c r="V15"/>
  <c r="U15"/>
  <c r="T15"/>
  <c r="S15"/>
  <c r="R15"/>
  <c r="Q15"/>
  <c r="P15"/>
  <c r="O15"/>
  <c r="N15"/>
  <c r="M15"/>
  <c r="L15"/>
  <c r="K15"/>
  <c r="J15"/>
  <c r="I15"/>
  <c r="H15"/>
  <c r="G15"/>
  <c r="F15"/>
  <c r="E15"/>
  <c r="D15"/>
  <c r="C15"/>
  <c r="B15"/>
  <c r="AB14"/>
  <c r="Y14"/>
  <c r="X14"/>
  <c r="W14"/>
  <c r="V14"/>
  <c r="U14"/>
  <c r="T14"/>
  <c r="S14"/>
  <c r="R14"/>
  <c r="Q14"/>
  <c r="P14"/>
  <c r="O14"/>
  <c r="N14"/>
  <c r="M14"/>
  <c r="L14"/>
  <c r="K14"/>
  <c r="J14"/>
  <c r="I14"/>
  <c r="H14"/>
  <c r="G14"/>
  <c r="F14"/>
  <c r="E14"/>
  <c r="D14"/>
  <c r="C14"/>
  <c r="B14"/>
  <c r="AB13"/>
  <c r="Y13"/>
  <c r="X13"/>
  <c r="W13"/>
  <c r="V13"/>
  <c r="U13"/>
  <c r="T13"/>
  <c r="S13"/>
  <c r="R13"/>
  <c r="Q13"/>
  <c r="P13"/>
  <c r="O13"/>
  <c r="N13"/>
  <c r="M13"/>
  <c r="L13"/>
  <c r="K13"/>
  <c r="J13"/>
  <c r="I13"/>
  <c r="H13"/>
  <c r="G13"/>
  <c r="F13"/>
  <c r="E13"/>
  <c r="D13"/>
  <c r="C13"/>
  <c r="B13"/>
  <c r="AB12"/>
  <c r="Y12"/>
  <c r="X12"/>
  <c r="W12"/>
  <c r="V12"/>
  <c r="U12"/>
  <c r="T12"/>
  <c r="S12"/>
  <c r="R12"/>
  <c r="Q12"/>
  <c r="P12"/>
  <c r="O12"/>
  <c r="N12"/>
  <c r="M12"/>
  <c r="L12"/>
  <c r="K12"/>
  <c r="J12"/>
  <c r="I12"/>
  <c r="H12"/>
  <c r="G12"/>
  <c r="F12"/>
  <c r="E12"/>
  <c r="D12"/>
  <c r="C12"/>
  <c r="B12"/>
  <c r="AB11"/>
  <c r="Y11"/>
  <c r="X11"/>
  <c r="W11"/>
  <c r="V11"/>
  <c r="U11"/>
  <c r="T11"/>
  <c r="S11"/>
  <c r="R11"/>
  <c r="Q11"/>
  <c r="P11"/>
  <c r="O11"/>
  <c r="N11"/>
  <c r="M11"/>
  <c r="L11"/>
  <c r="K11"/>
  <c r="J11"/>
  <c r="I11"/>
  <c r="H11"/>
  <c r="G11"/>
  <c r="F11"/>
  <c r="E11"/>
  <c r="D11"/>
  <c r="C11"/>
  <c r="B11"/>
  <c r="AB10"/>
  <c r="Y10"/>
  <c r="X10"/>
  <c r="W10"/>
  <c r="V10"/>
  <c r="U10"/>
  <c r="T10"/>
  <c r="S10"/>
  <c r="R10"/>
  <c r="Q10"/>
  <c r="P10"/>
  <c r="O10"/>
  <c r="N10"/>
  <c r="M10"/>
  <c r="L10"/>
  <c r="K10"/>
  <c r="J10"/>
  <c r="I10"/>
  <c r="H10"/>
  <c r="G10"/>
  <c r="F10"/>
  <c r="E10"/>
  <c r="D10"/>
  <c r="C10"/>
  <c r="B10"/>
  <c r="AB9"/>
  <c r="Y9"/>
  <c r="X9"/>
  <c r="W9"/>
  <c r="V9"/>
  <c r="U9"/>
  <c r="T9"/>
  <c r="S9"/>
  <c r="R9"/>
  <c r="Q9"/>
  <c r="P9"/>
  <c r="O9"/>
  <c r="N9"/>
  <c r="M9"/>
  <c r="L9"/>
  <c r="K9"/>
  <c r="J9"/>
  <c r="I9"/>
  <c r="H9"/>
  <c r="G9"/>
  <c r="F9"/>
  <c r="E9"/>
  <c r="D9"/>
  <c r="C9"/>
  <c r="B9"/>
  <c r="AB8"/>
  <c r="Y8"/>
  <c r="X8"/>
  <c r="W8"/>
  <c r="V8"/>
  <c r="U8"/>
  <c r="T8"/>
  <c r="S8"/>
  <c r="R8"/>
  <c r="Q8"/>
  <c r="P8"/>
  <c r="O8"/>
  <c r="N8"/>
  <c r="M8"/>
  <c r="L8"/>
  <c r="K8"/>
  <c r="J8"/>
  <c r="I8"/>
  <c r="H8"/>
  <c r="G8"/>
  <c r="F8"/>
  <c r="E8"/>
  <c r="D8"/>
  <c r="C8"/>
  <c r="B8"/>
  <c r="AC3"/>
  <c r="X3"/>
  <c r="AC2"/>
  <c r="M54" i="7"/>
  <c r="L54"/>
  <c r="K54"/>
  <c r="J54"/>
  <c r="I54"/>
  <c r="H54"/>
  <c r="G54"/>
  <c r="F54"/>
  <c r="AP53"/>
  <c r="AO53"/>
  <c r="AN53"/>
  <c r="AM53"/>
  <c r="AL53"/>
  <c r="AK53"/>
  <c r="AJ53"/>
  <c r="AI53"/>
  <c r="AH53"/>
  <c r="Z53"/>
  <c r="Y53"/>
  <c r="X53"/>
  <c r="W53"/>
  <c r="V53"/>
  <c r="U53"/>
  <c r="T53"/>
  <c r="S53"/>
  <c r="M53"/>
  <c r="L53"/>
  <c r="K53"/>
  <c r="J53"/>
  <c r="I53"/>
  <c r="H53"/>
  <c r="G53"/>
  <c r="F53"/>
  <c r="AP52"/>
  <c r="AO52"/>
  <c r="AN52"/>
  <c r="AM52"/>
  <c r="AK52"/>
  <c r="AJ52"/>
  <c r="AI52"/>
  <c r="AH52"/>
  <c r="AF52"/>
  <c r="AE52"/>
  <c r="AD52"/>
  <c r="AC52"/>
  <c r="Z52"/>
  <c r="Y52"/>
  <c r="X52"/>
  <c r="W52"/>
  <c r="V52"/>
  <c r="U52"/>
  <c r="T52"/>
  <c r="S52"/>
  <c r="N52"/>
  <c r="M52"/>
  <c r="L52"/>
  <c r="K52"/>
  <c r="J52"/>
  <c r="I52"/>
  <c r="H52"/>
  <c r="G52"/>
  <c r="F52"/>
  <c r="E52"/>
  <c r="D52"/>
  <c r="C52"/>
  <c r="B52"/>
  <c r="AP51"/>
  <c r="AO51"/>
  <c r="AN51"/>
  <c r="AM51"/>
  <c r="AK51"/>
  <c r="AJ51"/>
  <c r="AI51"/>
  <c r="AH51"/>
  <c r="AF51"/>
  <c r="AE51"/>
  <c r="AD51"/>
  <c r="AC51"/>
  <c r="Z51"/>
  <c r="Y51"/>
  <c r="X51"/>
  <c r="W51"/>
  <c r="V51"/>
  <c r="U51"/>
  <c r="T51"/>
  <c r="S51"/>
  <c r="N51"/>
  <c r="M51"/>
  <c r="L51"/>
  <c r="K51"/>
  <c r="J51"/>
  <c r="I51"/>
  <c r="H51"/>
  <c r="G51"/>
  <c r="F51"/>
  <c r="E51"/>
  <c r="D51"/>
  <c r="C51"/>
  <c r="B51"/>
  <c r="AP50"/>
  <c r="AO50"/>
  <c r="AN50"/>
  <c r="AM50"/>
  <c r="AK50"/>
  <c r="AJ50"/>
  <c r="AI50"/>
  <c r="AH50"/>
  <c r="AF50"/>
  <c r="AE50"/>
  <c r="AD50"/>
  <c r="AC50"/>
  <c r="Z50"/>
  <c r="Y50"/>
  <c r="X50"/>
  <c r="W50"/>
  <c r="V50"/>
  <c r="U50"/>
  <c r="T50"/>
  <c r="S50"/>
  <c r="N50"/>
  <c r="M50"/>
  <c r="L50"/>
  <c r="K50"/>
  <c r="J50"/>
  <c r="I50"/>
  <c r="H50"/>
  <c r="G50"/>
  <c r="F50"/>
  <c r="E50"/>
  <c r="D50"/>
  <c r="C50"/>
  <c r="B50"/>
  <c r="AP49"/>
  <c r="AO49"/>
  <c r="AN49"/>
  <c r="AM49"/>
  <c r="AK49"/>
  <c r="AJ49"/>
  <c r="AI49"/>
  <c r="AH49"/>
  <c r="AF49"/>
  <c r="AE49"/>
  <c r="AD49"/>
  <c r="AC49"/>
  <c r="Z49"/>
  <c r="Y49"/>
  <c r="X49"/>
  <c r="W49"/>
  <c r="V49"/>
  <c r="U49"/>
  <c r="T49"/>
  <c r="S49"/>
  <c r="N49"/>
  <c r="M49"/>
  <c r="L49"/>
  <c r="K49"/>
  <c r="J49"/>
  <c r="I49"/>
  <c r="H49"/>
  <c r="G49"/>
  <c r="F49"/>
  <c r="E49"/>
  <c r="D49"/>
  <c r="C49"/>
  <c r="B49"/>
  <c r="AP48"/>
  <c r="AO48"/>
  <c r="AN48"/>
  <c r="AM48"/>
  <c r="AK48"/>
  <c r="AJ48"/>
  <c r="AI48"/>
  <c r="AH48"/>
  <c r="AF48"/>
  <c r="AE48"/>
  <c r="AD48"/>
  <c r="AC48"/>
  <c r="Z48"/>
  <c r="Y48"/>
  <c r="X48"/>
  <c r="W48"/>
  <c r="V48"/>
  <c r="U48"/>
  <c r="T48"/>
  <c r="S48"/>
  <c r="N48"/>
  <c r="M48"/>
  <c r="L48"/>
  <c r="K48"/>
  <c r="J48"/>
  <c r="I48"/>
  <c r="H48"/>
  <c r="G48"/>
  <c r="F48"/>
  <c r="E48"/>
  <c r="D48"/>
  <c r="C48"/>
  <c r="B48"/>
  <c r="AP47"/>
  <c r="AO47"/>
  <c r="AN47"/>
  <c r="AM47"/>
  <c r="AK47"/>
  <c r="AJ47"/>
  <c r="AI47"/>
  <c r="AH47"/>
  <c r="AF47"/>
  <c r="AE47"/>
  <c r="AD47"/>
  <c r="AC47"/>
  <c r="Z47"/>
  <c r="Y47"/>
  <c r="X47"/>
  <c r="W47"/>
  <c r="V47"/>
  <c r="U47"/>
  <c r="T47"/>
  <c r="S47"/>
  <c r="N47"/>
  <c r="M47"/>
  <c r="L47"/>
  <c r="K47"/>
  <c r="J47"/>
  <c r="I47"/>
  <c r="H47"/>
  <c r="G47"/>
  <c r="F47"/>
  <c r="E47"/>
  <c r="D47"/>
  <c r="C47"/>
  <c r="B47"/>
  <c r="AP46"/>
  <c r="AO46"/>
  <c r="AN46"/>
  <c r="AM46"/>
  <c r="AK46"/>
  <c r="AJ46"/>
  <c r="AI46"/>
  <c r="AH46"/>
  <c r="AF46"/>
  <c r="AE46"/>
  <c r="AD46"/>
  <c r="AC46"/>
  <c r="Z46"/>
  <c r="Y46"/>
  <c r="X46"/>
  <c r="W46"/>
  <c r="V46"/>
  <c r="U46"/>
  <c r="T46"/>
  <c r="S46"/>
  <c r="N46"/>
  <c r="M46"/>
  <c r="L46"/>
  <c r="K46"/>
  <c r="J46"/>
  <c r="I46"/>
  <c r="H46"/>
  <c r="G46"/>
  <c r="F46"/>
  <c r="E46"/>
  <c r="D46"/>
  <c r="C46"/>
  <c r="B46"/>
  <c r="AP45"/>
  <c r="AO45"/>
  <c r="AN45"/>
  <c r="AM45"/>
  <c r="AK45"/>
  <c r="AJ45"/>
  <c r="AI45"/>
  <c r="AH45"/>
  <c r="AF45"/>
  <c r="AE45"/>
  <c r="AD45"/>
  <c r="AC45"/>
  <c r="Z45"/>
  <c r="Y45"/>
  <c r="X45"/>
  <c r="W45"/>
  <c r="V45"/>
  <c r="U45"/>
  <c r="T45"/>
  <c r="S45"/>
  <c r="N45"/>
  <c r="M45"/>
  <c r="L45"/>
  <c r="K45"/>
  <c r="J45"/>
  <c r="I45"/>
  <c r="H45"/>
  <c r="G45"/>
  <c r="F45"/>
  <c r="E45"/>
  <c r="D45"/>
  <c r="C45"/>
  <c r="B45"/>
  <c r="AP44"/>
  <c r="AO44"/>
  <c r="AN44"/>
  <c r="AM44"/>
  <c r="AK44"/>
  <c r="AJ44"/>
  <c r="AI44"/>
  <c r="AH44"/>
  <c r="AF44"/>
  <c r="AE44"/>
  <c r="AD44"/>
  <c r="AC44"/>
  <c r="Z44"/>
  <c r="Y44"/>
  <c r="X44"/>
  <c r="W44"/>
  <c r="V44"/>
  <c r="U44"/>
  <c r="T44"/>
  <c r="S44"/>
  <c r="N44"/>
  <c r="M44"/>
  <c r="L44"/>
  <c r="K44"/>
  <c r="J44"/>
  <c r="I44"/>
  <c r="H44"/>
  <c r="G44"/>
  <c r="F44"/>
  <c r="E44"/>
  <c r="D44"/>
  <c r="C44"/>
  <c r="B44"/>
  <c r="AP43"/>
  <c r="AO43"/>
  <c r="AN43"/>
  <c r="AM43"/>
  <c r="AK43"/>
  <c r="AJ43"/>
  <c r="AI43"/>
  <c r="AH43"/>
  <c r="AF43"/>
  <c r="AE43"/>
  <c r="AD43"/>
  <c r="AC43"/>
  <c r="Z43"/>
  <c r="Y43"/>
  <c r="X43"/>
  <c r="W43"/>
  <c r="V43"/>
  <c r="U43"/>
  <c r="T43"/>
  <c r="S43"/>
  <c r="N43"/>
  <c r="M43"/>
  <c r="L43"/>
  <c r="K43"/>
  <c r="J43"/>
  <c r="I43"/>
  <c r="H43"/>
  <c r="G43"/>
  <c r="F43"/>
  <c r="E43"/>
  <c r="D43"/>
  <c r="C43"/>
  <c r="B43"/>
  <c r="AP42"/>
  <c r="AO42"/>
  <c r="AN42"/>
  <c r="AM42"/>
  <c r="AK42"/>
  <c r="AJ42"/>
  <c r="AI42"/>
  <c r="AH42"/>
  <c r="AF42"/>
  <c r="AE42"/>
  <c r="AD42"/>
  <c r="AC42"/>
  <c r="Z42"/>
  <c r="Y42"/>
  <c r="X42"/>
  <c r="W42"/>
  <c r="V42"/>
  <c r="U42"/>
  <c r="T42"/>
  <c r="S42"/>
  <c r="N42"/>
  <c r="M42"/>
  <c r="L42"/>
  <c r="K42"/>
  <c r="J42"/>
  <c r="I42"/>
  <c r="H42"/>
  <c r="G42"/>
  <c r="F42"/>
  <c r="E42"/>
  <c r="D42"/>
  <c r="C42"/>
  <c r="B42"/>
  <c r="AP41"/>
  <c r="AO41"/>
  <c r="AN41"/>
  <c r="AM41"/>
  <c r="AK41"/>
  <c r="AJ41"/>
  <c r="AI41"/>
  <c r="AH41"/>
  <c r="AF41"/>
  <c r="AE41"/>
  <c r="AD41"/>
  <c r="AC41"/>
  <c r="Z41"/>
  <c r="Y41"/>
  <c r="X41"/>
  <c r="W41"/>
  <c r="V41"/>
  <c r="U41"/>
  <c r="T41"/>
  <c r="S41"/>
  <c r="N41"/>
  <c r="M41"/>
  <c r="L41"/>
  <c r="K41"/>
  <c r="J41"/>
  <c r="I41"/>
  <c r="H41"/>
  <c r="G41"/>
  <c r="F41"/>
  <c r="E41"/>
  <c r="D41"/>
  <c r="C41"/>
  <c r="B41"/>
  <c r="AP40"/>
  <c r="AO40"/>
  <c r="AN40"/>
  <c r="AM40"/>
  <c r="AK40"/>
  <c r="AJ40"/>
  <c r="AI40"/>
  <c r="AH40"/>
  <c r="AF40"/>
  <c r="AE40"/>
  <c r="AD40"/>
  <c r="AC40"/>
  <c r="Z40"/>
  <c r="Y40"/>
  <c r="X40"/>
  <c r="W40"/>
  <c r="V40"/>
  <c r="U40"/>
  <c r="T40"/>
  <c r="S40"/>
  <c r="N40"/>
  <c r="M40"/>
  <c r="L40"/>
  <c r="K40"/>
  <c r="J40"/>
  <c r="I40"/>
  <c r="H40"/>
  <c r="G40"/>
  <c r="F40"/>
  <c r="E40"/>
  <c r="D40"/>
  <c r="C40"/>
  <c r="B40"/>
  <c r="AP39"/>
  <c r="AO39"/>
  <c r="AN39"/>
  <c r="AM39"/>
  <c r="AK39"/>
  <c r="AJ39"/>
  <c r="AI39"/>
  <c r="AH39"/>
  <c r="AF39"/>
  <c r="AE39"/>
  <c r="AD39"/>
  <c r="AC39"/>
  <c r="Z39"/>
  <c r="Y39"/>
  <c r="X39"/>
  <c r="W39"/>
  <c r="V39"/>
  <c r="U39"/>
  <c r="T39"/>
  <c r="S39"/>
  <c r="N39"/>
  <c r="M39"/>
  <c r="L39"/>
  <c r="K39"/>
  <c r="J39"/>
  <c r="I39"/>
  <c r="H39"/>
  <c r="G39"/>
  <c r="F39"/>
  <c r="E39"/>
  <c r="D39"/>
  <c r="C39"/>
  <c r="B39"/>
  <c r="AP38"/>
  <c r="AO38"/>
  <c r="AN38"/>
  <c r="AM38"/>
  <c r="AK38"/>
  <c r="AJ38"/>
  <c r="AI38"/>
  <c r="AH38"/>
  <c r="AF38"/>
  <c r="AE38"/>
  <c r="AD38"/>
  <c r="AC38"/>
  <c r="Z38"/>
  <c r="Y38"/>
  <c r="X38"/>
  <c r="W38"/>
  <c r="V38"/>
  <c r="U38"/>
  <c r="T38"/>
  <c r="S38"/>
  <c r="N38"/>
  <c r="M38"/>
  <c r="L38"/>
  <c r="K38"/>
  <c r="J38"/>
  <c r="I38"/>
  <c r="H38"/>
  <c r="G38"/>
  <c r="F38"/>
  <c r="E38"/>
  <c r="D38"/>
  <c r="C38"/>
  <c r="B38"/>
  <c r="AP37"/>
  <c r="AO37"/>
  <c r="AN37"/>
  <c r="AM37"/>
  <c r="AK37"/>
  <c r="AJ37"/>
  <c r="AI37"/>
  <c r="AH37"/>
  <c r="AF37"/>
  <c r="AE37"/>
  <c r="AD37"/>
  <c r="AC37"/>
  <c r="Z37"/>
  <c r="Y37"/>
  <c r="X37"/>
  <c r="W37"/>
  <c r="V37"/>
  <c r="U37"/>
  <c r="T37"/>
  <c r="S37"/>
  <c r="N37"/>
  <c r="M37"/>
  <c r="L37"/>
  <c r="K37"/>
  <c r="J37"/>
  <c r="I37"/>
  <c r="H37"/>
  <c r="G37"/>
  <c r="F37"/>
  <c r="E37"/>
  <c r="D37"/>
  <c r="C37"/>
  <c r="B37"/>
  <c r="AP36"/>
  <c r="AO36"/>
  <c r="AN36"/>
  <c r="AM36"/>
  <c r="AK36"/>
  <c r="AJ36"/>
  <c r="AI36"/>
  <c r="AH36"/>
  <c r="AF36"/>
  <c r="AE36"/>
  <c r="AD36"/>
  <c r="AC36"/>
  <c r="Z36"/>
  <c r="Y36"/>
  <c r="X36"/>
  <c r="W36"/>
  <c r="V36"/>
  <c r="U36"/>
  <c r="T36"/>
  <c r="S36"/>
  <c r="N36"/>
  <c r="M36"/>
  <c r="L36"/>
  <c r="K36"/>
  <c r="J36"/>
  <c r="I36"/>
  <c r="H36"/>
  <c r="G36"/>
  <c r="F36"/>
  <c r="E36"/>
  <c r="D36"/>
  <c r="C36"/>
  <c r="B36"/>
  <c r="AP35"/>
  <c r="AO35"/>
  <c r="AN35"/>
  <c r="AM35"/>
  <c r="AK35"/>
  <c r="AJ35"/>
  <c r="AI35"/>
  <c r="AH35"/>
  <c r="AF35"/>
  <c r="AE35"/>
  <c r="AD35"/>
  <c r="AC35"/>
  <c r="Z35"/>
  <c r="Y35"/>
  <c r="X35"/>
  <c r="W35"/>
  <c r="V35"/>
  <c r="U35"/>
  <c r="T35"/>
  <c r="S35"/>
  <c r="N35"/>
  <c r="M35"/>
  <c r="L35"/>
  <c r="K35"/>
  <c r="J35"/>
  <c r="I35"/>
  <c r="H35"/>
  <c r="G35"/>
  <c r="F35"/>
  <c r="E35"/>
  <c r="D35"/>
  <c r="C35"/>
  <c r="B35"/>
  <c r="AP34"/>
  <c r="AO34"/>
  <c r="AN34"/>
  <c r="AM34"/>
  <c r="AK34"/>
  <c r="AJ34"/>
  <c r="AI34"/>
  <c r="AH34"/>
  <c r="AF34"/>
  <c r="AE34"/>
  <c r="AD34"/>
  <c r="AC34"/>
  <c r="Z34"/>
  <c r="Y34"/>
  <c r="X34"/>
  <c r="W34"/>
  <c r="V34"/>
  <c r="U34"/>
  <c r="T34"/>
  <c r="S34"/>
  <c r="N34"/>
  <c r="M34"/>
  <c r="L34"/>
  <c r="K34"/>
  <c r="J34"/>
  <c r="I34"/>
  <c r="H34"/>
  <c r="G34"/>
  <c r="F34"/>
  <c r="E34"/>
  <c r="D34"/>
  <c r="C34"/>
  <c r="B34"/>
  <c r="AP33"/>
  <c r="AO33"/>
  <c r="AN33"/>
  <c r="AM33"/>
  <c r="AK33"/>
  <c r="AJ33"/>
  <c r="AI33"/>
  <c r="AH33"/>
  <c r="AF33"/>
  <c r="AE33"/>
  <c r="AD33"/>
  <c r="AC33"/>
  <c r="Z33"/>
  <c r="Y33"/>
  <c r="X33"/>
  <c r="W33"/>
  <c r="V33"/>
  <c r="U33"/>
  <c r="T33"/>
  <c r="S33"/>
  <c r="N33"/>
  <c r="M33"/>
  <c r="L33"/>
  <c r="K33"/>
  <c r="J33"/>
  <c r="I33"/>
  <c r="H33"/>
  <c r="G33"/>
  <c r="F33"/>
  <c r="E33"/>
  <c r="D33"/>
  <c r="C33"/>
  <c r="B33"/>
  <c r="AP32"/>
  <c r="AO32"/>
  <c r="AN32"/>
  <c r="AM32"/>
  <c r="AK32"/>
  <c r="AJ32"/>
  <c r="AI32"/>
  <c r="AH32"/>
  <c r="AF32"/>
  <c r="AE32"/>
  <c r="AD32"/>
  <c r="AC32"/>
  <c r="Z32"/>
  <c r="Y32"/>
  <c r="X32"/>
  <c r="W32"/>
  <c r="V32"/>
  <c r="U32"/>
  <c r="T32"/>
  <c r="S32"/>
  <c r="N32"/>
  <c r="M32"/>
  <c r="L32"/>
  <c r="K32"/>
  <c r="J32"/>
  <c r="I32"/>
  <c r="H32"/>
  <c r="G32"/>
  <c r="F32"/>
  <c r="E32"/>
  <c r="D32"/>
  <c r="C32"/>
  <c r="B32"/>
  <c r="AP31"/>
  <c r="AO31"/>
  <c r="AN31"/>
  <c r="AM31"/>
  <c r="AK31"/>
  <c r="AJ31"/>
  <c r="AI31"/>
  <c r="AH31"/>
  <c r="AF31"/>
  <c r="AE31"/>
  <c r="AD31"/>
  <c r="AC31"/>
  <c r="Z31"/>
  <c r="Y31"/>
  <c r="X31"/>
  <c r="W31"/>
  <c r="V31"/>
  <c r="U31"/>
  <c r="T31"/>
  <c r="S31"/>
  <c r="N31"/>
  <c r="M31"/>
  <c r="L31"/>
  <c r="K31"/>
  <c r="J31"/>
  <c r="I31"/>
  <c r="H31"/>
  <c r="G31"/>
  <c r="F31"/>
  <c r="E31"/>
  <c r="D31"/>
  <c r="C31"/>
  <c r="B31"/>
  <c r="AP30"/>
  <c r="AO30"/>
  <c r="AN30"/>
  <c r="AM30"/>
  <c r="AK30"/>
  <c r="AJ30"/>
  <c r="AI30"/>
  <c r="AH30"/>
  <c r="AF30"/>
  <c r="AE30"/>
  <c r="AD30"/>
  <c r="AC30"/>
  <c r="Z30"/>
  <c r="Y30"/>
  <c r="X30"/>
  <c r="W30"/>
  <c r="V30"/>
  <c r="U30"/>
  <c r="T30"/>
  <c r="S30"/>
  <c r="N30"/>
  <c r="M30"/>
  <c r="L30"/>
  <c r="K30"/>
  <c r="J30"/>
  <c r="I30"/>
  <c r="H30"/>
  <c r="G30"/>
  <c r="F30"/>
  <c r="E30"/>
  <c r="D30"/>
  <c r="C30"/>
  <c r="B30"/>
  <c r="AP29"/>
  <c r="AO29"/>
  <c r="AN29"/>
  <c r="AM29"/>
  <c r="AK29"/>
  <c r="AJ29"/>
  <c r="AI29"/>
  <c r="AH29"/>
  <c r="AF29"/>
  <c r="AE29"/>
  <c r="AD29"/>
  <c r="AC29"/>
  <c r="Z29"/>
  <c r="Y29"/>
  <c r="X29"/>
  <c r="W29"/>
  <c r="V29"/>
  <c r="U29"/>
  <c r="T29"/>
  <c r="S29"/>
  <c r="N29"/>
  <c r="M29"/>
  <c r="L29"/>
  <c r="K29"/>
  <c r="J29"/>
  <c r="I29"/>
  <c r="H29"/>
  <c r="G29"/>
  <c r="F29"/>
  <c r="E29"/>
  <c r="D29"/>
  <c r="C29"/>
  <c r="B29"/>
  <c r="AP28"/>
  <c r="AO28"/>
  <c r="AN28"/>
  <c r="AM28"/>
  <c r="AK28"/>
  <c r="AJ28"/>
  <c r="AI28"/>
  <c r="AH28"/>
  <c r="AF28"/>
  <c r="AE28"/>
  <c r="AD28"/>
  <c r="AC28"/>
  <c r="Z28"/>
  <c r="Y28"/>
  <c r="X28"/>
  <c r="W28"/>
  <c r="V28"/>
  <c r="U28"/>
  <c r="T28"/>
  <c r="S28"/>
  <c r="N28"/>
  <c r="M28"/>
  <c r="L28"/>
  <c r="K28"/>
  <c r="J28"/>
  <c r="I28"/>
  <c r="H28"/>
  <c r="G28"/>
  <c r="F28"/>
  <c r="E28"/>
  <c r="D28"/>
  <c r="C28"/>
  <c r="B28"/>
  <c r="AP27"/>
  <c r="AO27"/>
  <c r="AN27"/>
  <c r="AM27"/>
  <c r="AK27"/>
  <c r="AJ27"/>
  <c r="AI27"/>
  <c r="AH27"/>
  <c r="AF27"/>
  <c r="AE27"/>
  <c r="AD27"/>
  <c r="AC27"/>
  <c r="Z27"/>
  <c r="Y27"/>
  <c r="X27"/>
  <c r="W27"/>
  <c r="V27"/>
  <c r="U27"/>
  <c r="T27"/>
  <c r="S27"/>
  <c r="N27"/>
  <c r="M27"/>
  <c r="L27"/>
  <c r="K27"/>
  <c r="J27"/>
  <c r="I27"/>
  <c r="H27"/>
  <c r="G27"/>
  <c r="F27"/>
  <c r="E27"/>
  <c r="D27"/>
  <c r="C27"/>
  <c r="B27"/>
  <c r="AP26"/>
  <c r="AO26"/>
  <c r="AN26"/>
  <c r="AM26"/>
  <c r="AK26"/>
  <c r="AJ26"/>
  <c r="AI26"/>
  <c r="AH26"/>
  <c r="AF26"/>
  <c r="AE26"/>
  <c r="AD26"/>
  <c r="AC26"/>
  <c r="Z26"/>
  <c r="Y26"/>
  <c r="X26"/>
  <c r="W26"/>
  <c r="V26"/>
  <c r="U26"/>
  <c r="T26"/>
  <c r="S26"/>
  <c r="N26"/>
  <c r="M26"/>
  <c r="L26"/>
  <c r="K26"/>
  <c r="J26"/>
  <c r="I26"/>
  <c r="H26"/>
  <c r="G26"/>
  <c r="F26"/>
  <c r="E26"/>
  <c r="D26"/>
  <c r="C26"/>
  <c r="B26"/>
  <c r="AP25"/>
  <c r="AO25"/>
  <c r="AN25"/>
  <c r="AM25"/>
  <c r="AK25"/>
  <c r="AJ25"/>
  <c r="AI25"/>
  <c r="AH25"/>
  <c r="AF25"/>
  <c r="AE25"/>
  <c r="AD25"/>
  <c r="AC25"/>
  <c r="Z25"/>
  <c r="Y25"/>
  <c r="X25"/>
  <c r="W25"/>
  <c r="V25"/>
  <c r="U25"/>
  <c r="T25"/>
  <c r="S25"/>
  <c r="N25"/>
  <c r="M25"/>
  <c r="L25"/>
  <c r="K25"/>
  <c r="J25"/>
  <c r="I25"/>
  <c r="H25"/>
  <c r="G25"/>
  <c r="F25"/>
  <c r="E25"/>
  <c r="D25"/>
  <c r="C25"/>
  <c r="B25"/>
  <c r="AP24"/>
  <c r="AO24"/>
  <c r="AN24"/>
  <c r="AM24"/>
  <c r="AK24"/>
  <c r="AJ24"/>
  <c r="AI24"/>
  <c r="AH24"/>
  <c r="AF24"/>
  <c r="AE24"/>
  <c r="AD24"/>
  <c r="AC24"/>
  <c r="Z24"/>
  <c r="Y24"/>
  <c r="X24"/>
  <c r="W24"/>
  <c r="V24"/>
  <c r="U24"/>
  <c r="T24"/>
  <c r="S24"/>
  <c r="P24"/>
  <c r="N24"/>
  <c r="M24"/>
  <c r="L24"/>
  <c r="K24"/>
  <c r="J24"/>
  <c r="I24"/>
  <c r="H24"/>
  <c r="G24"/>
  <c r="F24"/>
  <c r="E24"/>
  <c r="D24"/>
  <c r="C24"/>
  <c r="B24"/>
  <c r="AP23"/>
  <c r="AO23"/>
  <c r="AN23"/>
  <c r="AM23"/>
  <c r="AK23"/>
  <c r="AJ23"/>
  <c r="AI23"/>
  <c r="AH23"/>
  <c r="AF23"/>
  <c r="AE23"/>
  <c r="AD23"/>
  <c r="AC23"/>
  <c r="Z23"/>
  <c r="Y23"/>
  <c r="X23"/>
  <c r="W23"/>
  <c r="V23"/>
  <c r="U23"/>
  <c r="T23"/>
  <c r="S23"/>
  <c r="P23"/>
  <c r="N23"/>
  <c r="M23"/>
  <c r="L23"/>
  <c r="K23"/>
  <c r="J23"/>
  <c r="I23"/>
  <c r="H23"/>
  <c r="G23"/>
  <c r="F23"/>
  <c r="E23"/>
  <c r="D23"/>
  <c r="C23"/>
  <c r="B23"/>
  <c r="AP22"/>
  <c r="AO22"/>
  <c r="AN22"/>
  <c r="AM22"/>
  <c r="AK22"/>
  <c r="AJ22"/>
  <c r="AI22"/>
  <c r="AH22"/>
  <c r="AF22"/>
  <c r="AE22"/>
  <c r="AD22"/>
  <c r="AC22"/>
  <c r="Z22"/>
  <c r="Y22"/>
  <c r="X22"/>
  <c r="W22"/>
  <c r="V22"/>
  <c r="U22"/>
  <c r="T22"/>
  <c r="S22"/>
  <c r="P22"/>
  <c r="N22"/>
  <c r="M22"/>
  <c r="L22"/>
  <c r="K22"/>
  <c r="J22"/>
  <c r="I22"/>
  <c r="H22"/>
  <c r="G22"/>
  <c r="F22"/>
  <c r="E22"/>
  <c r="D22"/>
  <c r="C22"/>
  <c r="B22"/>
  <c r="P21"/>
  <c r="M20"/>
  <c r="L20"/>
  <c r="K20"/>
  <c r="I20"/>
  <c r="H20"/>
  <c r="G20"/>
  <c r="O18"/>
  <c r="N18"/>
  <c r="M18"/>
  <c r="L18"/>
  <c r="K18"/>
  <c r="J18"/>
  <c r="I18"/>
  <c r="H18"/>
  <c r="G18"/>
  <c r="F18"/>
  <c r="E18"/>
  <c r="O17"/>
  <c r="N17"/>
  <c r="M17"/>
  <c r="L17"/>
  <c r="K17"/>
  <c r="J17"/>
  <c r="I17"/>
  <c r="H17"/>
  <c r="G17"/>
  <c r="F17"/>
  <c r="E17"/>
  <c r="O16"/>
  <c r="N16"/>
  <c r="M16"/>
  <c r="L16"/>
  <c r="K16"/>
  <c r="J16"/>
  <c r="I16"/>
  <c r="H16"/>
  <c r="G16"/>
  <c r="F16"/>
  <c r="E16"/>
  <c r="K12"/>
  <c r="F12"/>
  <c r="K11"/>
  <c r="F11"/>
  <c r="K10"/>
  <c r="F10"/>
  <c r="K9"/>
  <c r="F9"/>
  <c r="K8"/>
  <c r="F8"/>
  <c r="K7"/>
  <c r="F7"/>
  <c r="N6"/>
  <c r="F6"/>
  <c r="J5"/>
  <c r="D3"/>
  <c r="R2"/>
  <c r="H61" i="6"/>
  <c r="B60"/>
  <c r="M59"/>
  <c r="J55"/>
  <c r="G53"/>
  <c r="L50"/>
  <c r="I50"/>
  <c r="G50"/>
  <c r="D50"/>
  <c r="B50"/>
  <c r="L49"/>
  <c r="I49"/>
  <c r="G49"/>
  <c r="D49"/>
  <c r="B49"/>
  <c r="L48"/>
  <c r="I48"/>
  <c r="G48"/>
  <c r="D48"/>
  <c r="B48"/>
  <c r="L47"/>
  <c r="I47"/>
  <c r="G47"/>
  <c r="D47"/>
  <c r="B47"/>
  <c r="L46"/>
  <c r="I46"/>
  <c r="G46"/>
  <c r="D46"/>
  <c r="B46"/>
  <c r="N43"/>
  <c r="N42"/>
  <c r="N41"/>
  <c r="J41"/>
  <c r="I41"/>
  <c r="H41"/>
  <c r="G41"/>
  <c r="F41"/>
  <c r="E41"/>
  <c r="D41"/>
  <c r="C41"/>
  <c r="N40"/>
  <c r="D33"/>
  <c r="I33"/>
  <c r="N33"/>
  <c r="I35"/>
  <c r="N35"/>
  <c r="N37"/>
  <c r="M37"/>
  <c r="L37"/>
  <c r="K37"/>
  <c r="I37"/>
  <c r="H37"/>
  <c r="G37"/>
  <c r="F37"/>
  <c r="E37"/>
  <c r="D37"/>
  <c r="N36"/>
  <c r="M36"/>
  <c r="L36"/>
  <c r="K36"/>
  <c r="I36"/>
  <c r="H36"/>
  <c r="G36"/>
  <c r="F36"/>
  <c r="E36"/>
  <c r="D36"/>
  <c r="M35"/>
  <c r="L35"/>
  <c r="K35"/>
  <c r="H35"/>
  <c r="G35"/>
  <c r="F35"/>
  <c r="E35"/>
  <c r="N34"/>
  <c r="M34"/>
  <c r="L34"/>
  <c r="I34"/>
  <c r="H34"/>
  <c r="G34"/>
  <c r="F34"/>
  <c r="E34"/>
  <c r="D34"/>
  <c r="M33"/>
  <c r="L33"/>
  <c r="K33"/>
  <c r="H33"/>
  <c r="G33"/>
  <c r="F33"/>
  <c r="E33"/>
  <c r="N32"/>
  <c r="M32"/>
  <c r="L32"/>
  <c r="K32"/>
  <c r="H32"/>
  <c r="G32"/>
  <c r="F32"/>
  <c r="E32"/>
  <c r="D29"/>
  <c r="E29"/>
  <c r="I29"/>
  <c r="N29"/>
  <c r="N31"/>
  <c r="M31"/>
  <c r="L31"/>
  <c r="K31"/>
  <c r="I31"/>
  <c r="H31"/>
  <c r="G31"/>
  <c r="F31"/>
  <c r="E31"/>
  <c r="D31"/>
  <c r="D28"/>
  <c r="E28"/>
  <c r="I28"/>
  <c r="N28"/>
  <c r="N30"/>
  <c r="M30"/>
  <c r="L30"/>
  <c r="K30"/>
  <c r="I30"/>
  <c r="H30"/>
  <c r="G30"/>
  <c r="F30"/>
  <c r="E30"/>
  <c r="D30"/>
  <c r="M29"/>
  <c r="L29"/>
  <c r="K29"/>
  <c r="H29"/>
  <c r="G29"/>
  <c r="F29"/>
  <c r="M28"/>
  <c r="L28"/>
  <c r="K28"/>
  <c r="H28"/>
  <c r="G28"/>
  <c r="F28"/>
  <c r="N27"/>
  <c r="M27"/>
  <c r="L27"/>
  <c r="K27"/>
  <c r="I27"/>
  <c r="H27"/>
  <c r="G27"/>
  <c r="F27"/>
  <c r="E27"/>
  <c r="D27"/>
  <c r="N26"/>
  <c r="M26"/>
  <c r="L26"/>
  <c r="K26"/>
  <c r="I26"/>
  <c r="H26"/>
  <c r="G26"/>
  <c r="F26"/>
  <c r="E26"/>
  <c r="D26"/>
  <c r="K24"/>
  <c r="E24"/>
  <c r="D24"/>
  <c r="H23"/>
  <c r="G23"/>
  <c r="F23"/>
  <c r="D23"/>
  <c r="N20"/>
  <c r="K20"/>
  <c r="F20"/>
  <c r="D20"/>
  <c r="B20"/>
  <c r="O15"/>
  <c r="N15"/>
  <c r="M15"/>
  <c r="L15"/>
  <c r="K15"/>
  <c r="I15"/>
  <c r="H15"/>
  <c r="G15"/>
  <c r="F15"/>
  <c r="E15"/>
  <c r="D15"/>
  <c r="B15"/>
  <c r="F11"/>
  <c r="L10"/>
  <c r="D10"/>
  <c r="L9"/>
  <c r="D9"/>
  <c r="L8"/>
  <c r="D8"/>
  <c r="L7"/>
  <c r="D7"/>
  <c r="L6"/>
  <c r="L5"/>
  <c r="D5"/>
  <c r="L4"/>
  <c r="D4"/>
  <c r="G2"/>
  <c r="E2"/>
  <c r="BE38" i="14"/>
  <c r="BD38"/>
  <c r="BC38"/>
  <c r="BB38"/>
  <c r="AZ38"/>
  <c r="AY38"/>
  <c r="AX38"/>
  <c r="AW38"/>
  <c r="AT38"/>
  <c r="AS38"/>
  <c r="AR38"/>
  <c r="AQ38"/>
  <c r="AP38"/>
  <c r="AO38"/>
  <c r="AN38"/>
  <c r="AM38"/>
  <c r="AL38"/>
  <c r="AK38"/>
  <c r="AJ38"/>
  <c r="AI38"/>
  <c r="AH38"/>
  <c r="AG38"/>
  <c r="AF38"/>
  <c r="AE38"/>
  <c r="AD38"/>
  <c r="AC38"/>
  <c r="AB7"/>
  <c r="Y8"/>
  <c r="Z8"/>
  <c r="AA8"/>
  <c r="AB8"/>
  <c r="Y9"/>
  <c r="Z9"/>
  <c r="AA9"/>
  <c r="AB9"/>
  <c r="Y10"/>
  <c r="Z10"/>
  <c r="AA10"/>
  <c r="AB10"/>
  <c r="Y11"/>
  <c r="Z11"/>
  <c r="AA11"/>
  <c r="AB11"/>
  <c r="Y12"/>
  <c r="Z12"/>
  <c r="AA12"/>
  <c r="AB12"/>
  <c r="Y13"/>
  <c r="Z13"/>
  <c r="AA13"/>
  <c r="AB13"/>
  <c r="Y14"/>
  <c r="Z14"/>
  <c r="AA14"/>
  <c r="AB14"/>
  <c r="Y15"/>
  <c r="Z15"/>
  <c r="AA15"/>
  <c r="AB15"/>
  <c r="Y16"/>
  <c r="Z16"/>
  <c r="AA16"/>
  <c r="AB16"/>
  <c r="Y17"/>
  <c r="Z17"/>
  <c r="AA17"/>
  <c r="AB17"/>
  <c r="Y18"/>
  <c r="Z18"/>
  <c r="AA18"/>
  <c r="AB18"/>
  <c r="Y19"/>
  <c r="Z19"/>
  <c r="AA19"/>
  <c r="AB19"/>
  <c r="Y20"/>
  <c r="Z20"/>
  <c r="AA20"/>
  <c r="AB20"/>
  <c r="Y21"/>
  <c r="Z21"/>
  <c r="AA21"/>
  <c r="AB21"/>
  <c r="Y22"/>
  <c r="Z22"/>
  <c r="AA22"/>
  <c r="AB22"/>
  <c r="Y23"/>
  <c r="Z23"/>
  <c r="AA23"/>
  <c r="AB23"/>
  <c r="Y24"/>
  <c r="Z24"/>
  <c r="AA24"/>
  <c r="AB24"/>
  <c r="Y25"/>
  <c r="Z25"/>
  <c r="AA25"/>
  <c r="AB25"/>
  <c r="Y26"/>
  <c r="Z26"/>
  <c r="AA26"/>
  <c r="AB26"/>
  <c r="Y27"/>
  <c r="Z27"/>
  <c r="AA27"/>
  <c r="AB27"/>
  <c r="Y28"/>
  <c r="Z28"/>
  <c r="AA28"/>
  <c r="AB28"/>
  <c r="Y29"/>
  <c r="Z29"/>
  <c r="AA29"/>
  <c r="AB29"/>
  <c r="Y30"/>
  <c r="Z30"/>
  <c r="AA30"/>
  <c r="AB30"/>
  <c r="Y31"/>
  <c r="Z31"/>
  <c r="AA31"/>
  <c r="AB31"/>
  <c r="Y32"/>
  <c r="Z32"/>
  <c r="AA32"/>
  <c r="AB32"/>
  <c r="Y33"/>
  <c r="Z33"/>
  <c r="AA33"/>
  <c r="AB33"/>
  <c r="Y34"/>
  <c r="Z34"/>
  <c r="AA34"/>
  <c r="AB34"/>
  <c r="Y35"/>
  <c r="Z35"/>
  <c r="AA35"/>
  <c r="AB35"/>
  <c r="Y36"/>
  <c r="Z36"/>
  <c r="AA36"/>
  <c r="AB36"/>
  <c r="Y37"/>
  <c r="Z37"/>
  <c r="AA37"/>
  <c r="AB37"/>
  <c r="AB38"/>
  <c r="AA38"/>
  <c r="Z38"/>
  <c r="Y38"/>
  <c r="X38"/>
  <c r="W38"/>
  <c r="V38"/>
  <c r="U38"/>
  <c r="T38"/>
  <c r="S38"/>
  <c r="K38"/>
  <c r="BG37"/>
  <c r="BE37"/>
  <c r="BD37"/>
  <c r="BC37"/>
  <c r="BB37"/>
  <c r="AZ37"/>
  <c r="AY37"/>
  <c r="AX37"/>
  <c r="AW37"/>
  <c r="AL37"/>
  <c r="AH37"/>
  <c r="X37"/>
  <c r="W37"/>
  <c r="V37"/>
  <c r="U37"/>
  <c r="T37"/>
  <c r="S37"/>
  <c r="P37"/>
  <c r="O37"/>
  <c r="N37"/>
  <c r="M37"/>
  <c r="L37"/>
  <c r="K37"/>
  <c r="BG36"/>
  <c r="BE36"/>
  <c r="BD36"/>
  <c r="BC36"/>
  <c r="BB36"/>
  <c r="AZ36"/>
  <c r="AY36"/>
  <c r="AX36"/>
  <c r="AW36"/>
  <c r="AL36"/>
  <c r="AH36"/>
  <c r="X36"/>
  <c r="W36"/>
  <c r="V36"/>
  <c r="U36"/>
  <c r="T36"/>
  <c r="S36"/>
  <c r="P36"/>
  <c r="O36"/>
  <c r="N36"/>
  <c r="M36"/>
  <c r="L36"/>
  <c r="K36"/>
  <c r="BP35"/>
  <c r="BO35"/>
  <c r="BN35"/>
  <c r="BM35"/>
  <c r="BL35"/>
  <c r="BK35"/>
  <c r="BJ35"/>
  <c r="BI35"/>
  <c r="BG35"/>
  <c r="BE35"/>
  <c r="BD35"/>
  <c r="BC35"/>
  <c r="BB35"/>
  <c r="AZ35"/>
  <c r="AY35"/>
  <c r="AX35"/>
  <c r="AW35"/>
  <c r="AL35"/>
  <c r="AH35"/>
  <c r="X35"/>
  <c r="W35"/>
  <c r="V35"/>
  <c r="U35"/>
  <c r="T35"/>
  <c r="S35"/>
  <c r="P35"/>
  <c r="O35"/>
  <c r="N35"/>
  <c r="M35"/>
  <c r="L35"/>
  <c r="K35"/>
  <c r="BG34"/>
  <c r="BE34"/>
  <c r="BD34"/>
  <c r="BC34"/>
  <c r="BB34"/>
  <c r="AZ34"/>
  <c r="AY34"/>
  <c r="AX34"/>
  <c r="AW34"/>
  <c r="AL34"/>
  <c r="AH34"/>
  <c r="X34"/>
  <c r="W34"/>
  <c r="V34"/>
  <c r="U34"/>
  <c r="T34"/>
  <c r="S34"/>
  <c r="P34"/>
  <c r="O34"/>
  <c r="N34"/>
  <c r="M34"/>
  <c r="L34"/>
  <c r="K34"/>
  <c r="BG33"/>
  <c r="BE33"/>
  <c r="BD33"/>
  <c r="BC33"/>
  <c r="BB33"/>
  <c r="AZ33"/>
  <c r="AY33"/>
  <c r="AX33"/>
  <c r="AW33"/>
  <c r="AL33"/>
  <c r="AH33"/>
  <c r="X33"/>
  <c r="W33"/>
  <c r="V33"/>
  <c r="U33"/>
  <c r="T33"/>
  <c r="S33"/>
  <c r="P33"/>
  <c r="O33"/>
  <c r="N33"/>
  <c r="M33"/>
  <c r="L33"/>
  <c r="K33"/>
  <c r="BG32"/>
  <c r="BE32"/>
  <c r="BD32"/>
  <c r="BC32"/>
  <c r="BB32"/>
  <c r="AZ32"/>
  <c r="AY32"/>
  <c r="AX32"/>
  <c r="AW32"/>
  <c r="AL32"/>
  <c r="AH32"/>
  <c r="X32"/>
  <c r="W32"/>
  <c r="V32"/>
  <c r="U32"/>
  <c r="T32"/>
  <c r="S32"/>
  <c r="P32"/>
  <c r="O32"/>
  <c r="N32"/>
  <c r="M32"/>
  <c r="L32"/>
  <c r="K32"/>
  <c r="BG31"/>
  <c r="BE31"/>
  <c r="BD31"/>
  <c r="BC31"/>
  <c r="BB31"/>
  <c r="AZ31"/>
  <c r="AY31"/>
  <c r="AX31"/>
  <c r="AW31"/>
  <c r="AL31"/>
  <c r="AH31"/>
  <c r="X31"/>
  <c r="W31"/>
  <c r="V31"/>
  <c r="U31"/>
  <c r="T31"/>
  <c r="S31"/>
  <c r="P31"/>
  <c r="O31"/>
  <c r="N31"/>
  <c r="M31"/>
  <c r="L31"/>
  <c r="K31"/>
  <c r="BG30"/>
  <c r="BE30"/>
  <c r="BD30"/>
  <c r="BC30"/>
  <c r="BB30"/>
  <c r="AZ30"/>
  <c r="AY30"/>
  <c r="AX30"/>
  <c r="AW30"/>
  <c r="AL30"/>
  <c r="AH30"/>
  <c r="X30"/>
  <c r="W30"/>
  <c r="V30"/>
  <c r="U30"/>
  <c r="T30"/>
  <c r="S30"/>
  <c r="P30"/>
  <c r="O30"/>
  <c r="N30"/>
  <c r="M30"/>
  <c r="L30"/>
  <c r="K30"/>
  <c r="BG29"/>
  <c r="BE29"/>
  <c r="BD29"/>
  <c r="BC29"/>
  <c r="BB29"/>
  <c r="AZ29"/>
  <c r="AY29"/>
  <c r="AX29"/>
  <c r="AW29"/>
  <c r="AL29"/>
  <c r="AH29"/>
  <c r="X29"/>
  <c r="W29"/>
  <c r="V29"/>
  <c r="U29"/>
  <c r="T29"/>
  <c r="S29"/>
  <c r="P29"/>
  <c r="O29"/>
  <c r="N29"/>
  <c r="M29"/>
  <c r="L29"/>
  <c r="K29"/>
  <c r="BP28"/>
  <c r="BO28"/>
  <c r="BN28"/>
  <c r="BM28"/>
  <c r="BL28"/>
  <c r="BK28"/>
  <c r="BJ28"/>
  <c r="BI28"/>
  <c r="BG28"/>
  <c r="BE28"/>
  <c r="BD28"/>
  <c r="BC28"/>
  <c r="BB28"/>
  <c r="AZ28"/>
  <c r="AY28"/>
  <c r="AX28"/>
  <c r="AW28"/>
  <c r="AL28"/>
  <c r="AH28"/>
  <c r="X28"/>
  <c r="W28"/>
  <c r="V28"/>
  <c r="U28"/>
  <c r="T28"/>
  <c r="S28"/>
  <c r="P28"/>
  <c r="O28"/>
  <c r="N28"/>
  <c r="M28"/>
  <c r="L28"/>
  <c r="K28"/>
  <c r="BG27"/>
  <c r="BE27"/>
  <c r="BD27"/>
  <c r="BC27"/>
  <c r="BB27"/>
  <c r="AZ27"/>
  <c r="AY27"/>
  <c r="AX27"/>
  <c r="AW27"/>
  <c r="AL27"/>
  <c r="AH27"/>
  <c r="X27"/>
  <c r="W27"/>
  <c r="V27"/>
  <c r="U27"/>
  <c r="T27"/>
  <c r="S27"/>
  <c r="P27"/>
  <c r="O27"/>
  <c r="N27"/>
  <c r="M27"/>
  <c r="L27"/>
  <c r="K27"/>
  <c r="BG26"/>
  <c r="BE26"/>
  <c r="BD26"/>
  <c r="BC26"/>
  <c r="BB26"/>
  <c r="AZ26"/>
  <c r="AY26"/>
  <c r="AX26"/>
  <c r="AW26"/>
  <c r="AL26"/>
  <c r="AH26"/>
  <c r="X26"/>
  <c r="W26"/>
  <c r="V26"/>
  <c r="U26"/>
  <c r="T26"/>
  <c r="S26"/>
  <c r="P26"/>
  <c r="O26"/>
  <c r="N26"/>
  <c r="M26"/>
  <c r="L26"/>
  <c r="K26"/>
  <c r="BG25"/>
  <c r="BE25"/>
  <c r="BD25"/>
  <c r="BC25"/>
  <c r="BB25"/>
  <c r="AZ25"/>
  <c r="AY25"/>
  <c r="AX25"/>
  <c r="AW25"/>
  <c r="AL25"/>
  <c r="AH25"/>
  <c r="X25"/>
  <c r="W25"/>
  <c r="V25"/>
  <c r="U25"/>
  <c r="T25"/>
  <c r="S25"/>
  <c r="P25"/>
  <c r="O25"/>
  <c r="N25"/>
  <c r="M25"/>
  <c r="L25"/>
  <c r="K25"/>
  <c r="BG24"/>
  <c r="BE24"/>
  <c r="BD24"/>
  <c r="BC24"/>
  <c r="BB24"/>
  <c r="AZ24"/>
  <c r="AY24"/>
  <c r="AX24"/>
  <c r="AW24"/>
  <c r="AL24"/>
  <c r="AH24"/>
  <c r="X24"/>
  <c r="W24"/>
  <c r="V24"/>
  <c r="U24"/>
  <c r="T24"/>
  <c r="S24"/>
  <c r="P24"/>
  <c r="O24"/>
  <c r="N24"/>
  <c r="M24"/>
  <c r="L24"/>
  <c r="K24"/>
  <c r="BG23"/>
  <c r="BE23"/>
  <c r="BD23"/>
  <c r="BC23"/>
  <c r="BB23"/>
  <c r="AZ23"/>
  <c r="AY23"/>
  <c r="AX23"/>
  <c r="AW23"/>
  <c r="AL23"/>
  <c r="AH23"/>
  <c r="X23"/>
  <c r="W23"/>
  <c r="V23"/>
  <c r="U23"/>
  <c r="T23"/>
  <c r="S23"/>
  <c r="P23"/>
  <c r="O23"/>
  <c r="N23"/>
  <c r="M23"/>
  <c r="L23"/>
  <c r="K23"/>
  <c r="BG22"/>
  <c r="BE22"/>
  <c r="BD22"/>
  <c r="BC22"/>
  <c r="BB22"/>
  <c r="AZ22"/>
  <c r="AY22"/>
  <c r="AX22"/>
  <c r="AW22"/>
  <c r="AL22"/>
  <c r="AH22"/>
  <c r="X22"/>
  <c r="W22"/>
  <c r="V22"/>
  <c r="U22"/>
  <c r="T22"/>
  <c r="S22"/>
  <c r="P22"/>
  <c r="O22"/>
  <c r="N22"/>
  <c r="M22"/>
  <c r="L22"/>
  <c r="K22"/>
  <c r="BP21"/>
  <c r="BO21"/>
  <c r="BN21"/>
  <c r="BM21"/>
  <c r="BL21"/>
  <c r="BK21"/>
  <c r="BJ21"/>
  <c r="BI21"/>
  <c r="BG21"/>
  <c r="BE21"/>
  <c r="BD21"/>
  <c r="BC21"/>
  <c r="BB21"/>
  <c r="AZ21"/>
  <c r="AY21"/>
  <c r="AX21"/>
  <c r="AW21"/>
  <c r="AL21"/>
  <c r="AH21"/>
  <c r="X21"/>
  <c r="W21"/>
  <c r="V21"/>
  <c r="U21"/>
  <c r="T21"/>
  <c r="S21"/>
  <c r="P21"/>
  <c r="O21"/>
  <c r="N21"/>
  <c r="M21"/>
  <c r="L21"/>
  <c r="K21"/>
  <c r="BG20"/>
  <c r="BE20"/>
  <c r="BD20"/>
  <c r="BC20"/>
  <c r="BB20"/>
  <c r="AZ20"/>
  <c r="AY20"/>
  <c r="AX20"/>
  <c r="AW20"/>
  <c r="AL20"/>
  <c r="AH20"/>
  <c r="X20"/>
  <c r="W20"/>
  <c r="V20"/>
  <c r="U20"/>
  <c r="T20"/>
  <c r="S20"/>
  <c r="P20"/>
  <c r="O20"/>
  <c r="N20"/>
  <c r="M20"/>
  <c r="L20"/>
  <c r="K20"/>
  <c r="BG19"/>
  <c r="BE19"/>
  <c r="BD19"/>
  <c r="BC19"/>
  <c r="BB19"/>
  <c r="AZ19"/>
  <c r="AY19"/>
  <c r="AX19"/>
  <c r="AW19"/>
  <c r="AL19"/>
  <c r="AH19"/>
  <c r="X19"/>
  <c r="W19"/>
  <c r="V19"/>
  <c r="U19"/>
  <c r="T19"/>
  <c r="S19"/>
  <c r="P19"/>
  <c r="O19"/>
  <c r="N19"/>
  <c r="M19"/>
  <c r="L19"/>
  <c r="K19"/>
  <c r="BG18"/>
  <c r="BE18"/>
  <c r="BD18"/>
  <c r="BC18"/>
  <c r="BB18"/>
  <c r="AZ18"/>
  <c r="AY18"/>
  <c r="AX18"/>
  <c r="AW18"/>
  <c r="AL18"/>
  <c r="AH18"/>
  <c r="X18"/>
  <c r="W18"/>
  <c r="V18"/>
  <c r="U18"/>
  <c r="T18"/>
  <c r="S18"/>
  <c r="P18"/>
  <c r="O18"/>
  <c r="N18"/>
  <c r="M18"/>
  <c r="L18"/>
  <c r="K18"/>
  <c r="BG17"/>
  <c r="BE17"/>
  <c r="BD17"/>
  <c r="BC17"/>
  <c r="BB17"/>
  <c r="AZ17"/>
  <c r="AY17"/>
  <c r="AX17"/>
  <c r="AW17"/>
  <c r="AL17"/>
  <c r="AH17"/>
  <c r="X17"/>
  <c r="W17"/>
  <c r="V17"/>
  <c r="U17"/>
  <c r="T17"/>
  <c r="S17"/>
  <c r="P17"/>
  <c r="O17"/>
  <c r="N17"/>
  <c r="M17"/>
  <c r="L17"/>
  <c r="K17"/>
  <c r="BG16"/>
  <c r="BE16"/>
  <c r="BD16"/>
  <c r="BC16"/>
  <c r="BB16"/>
  <c r="AZ16"/>
  <c r="AY16"/>
  <c r="AX16"/>
  <c r="AW16"/>
  <c r="AL16"/>
  <c r="AH16"/>
  <c r="X16"/>
  <c r="W16"/>
  <c r="V16"/>
  <c r="U16"/>
  <c r="T16"/>
  <c r="S16"/>
  <c r="P16"/>
  <c r="O16"/>
  <c r="N16"/>
  <c r="M16"/>
  <c r="L16"/>
  <c r="K16"/>
  <c r="J16"/>
  <c r="E16"/>
  <c r="BG15"/>
  <c r="BE15"/>
  <c r="BD15"/>
  <c r="BC15"/>
  <c r="BB15"/>
  <c r="AZ15"/>
  <c r="AY15"/>
  <c r="AX15"/>
  <c r="AW15"/>
  <c r="AL15"/>
  <c r="AH15"/>
  <c r="X15"/>
  <c r="W15"/>
  <c r="V15"/>
  <c r="U15"/>
  <c r="T15"/>
  <c r="S15"/>
  <c r="P15"/>
  <c r="O15"/>
  <c r="N15"/>
  <c r="M15"/>
  <c r="L15"/>
  <c r="K15"/>
  <c r="J15"/>
  <c r="E15"/>
  <c r="BP14"/>
  <c r="BO14"/>
  <c r="BN14"/>
  <c r="BM14"/>
  <c r="BL14"/>
  <c r="BK14"/>
  <c r="BJ14"/>
  <c r="BI14"/>
  <c r="BG14"/>
  <c r="BE14"/>
  <c r="BD14"/>
  <c r="BC14"/>
  <c r="BB14"/>
  <c r="AZ14"/>
  <c r="AY14"/>
  <c r="AX14"/>
  <c r="AW14"/>
  <c r="AL14"/>
  <c r="AH14"/>
  <c r="X14"/>
  <c r="W14"/>
  <c r="V14"/>
  <c r="U14"/>
  <c r="T14"/>
  <c r="S14"/>
  <c r="P14"/>
  <c r="O14"/>
  <c r="N14"/>
  <c r="M14"/>
  <c r="L14"/>
  <c r="K14"/>
  <c r="BH13"/>
  <c r="BG13"/>
  <c r="BE13"/>
  <c r="BD13"/>
  <c r="BC13"/>
  <c r="BB13"/>
  <c r="AZ13"/>
  <c r="AY13"/>
  <c r="AX13"/>
  <c r="AW13"/>
  <c r="AL13"/>
  <c r="AH13"/>
  <c r="X13"/>
  <c r="W13"/>
  <c r="V13"/>
  <c r="U13"/>
  <c r="T13"/>
  <c r="S13"/>
  <c r="P13"/>
  <c r="O13"/>
  <c r="N13"/>
  <c r="M13"/>
  <c r="L13"/>
  <c r="K13"/>
  <c r="I13"/>
  <c r="G13"/>
  <c r="F13"/>
  <c r="BH12"/>
  <c r="BG12"/>
  <c r="BE12"/>
  <c r="BD12"/>
  <c r="BC12"/>
  <c r="BB12"/>
  <c r="AZ12"/>
  <c r="AY12"/>
  <c r="AX12"/>
  <c r="AW12"/>
  <c r="AL12"/>
  <c r="AH12"/>
  <c r="X12"/>
  <c r="W12"/>
  <c r="V12"/>
  <c r="U12"/>
  <c r="T12"/>
  <c r="S12"/>
  <c r="P12"/>
  <c r="O12"/>
  <c r="N12"/>
  <c r="M12"/>
  <c r="L12"/>
  <c r="K12"/>
  <c r="I12"/>
  <c r="F12"/>
  <c r="BH11"/>
  <c r="BG11"/>
  <c r="BE11"/>
  <c r="BD11"/>
  <c r="BC11"/>
  <c r="BB11"/>
  <c r="AZ11"/>
  <c r="AY11"/>
  <c r="AX11"/>
  <c r="AW11"/>
  <c r="AL11"/>
  <c r="AH11"/>
  <c r="X11"/>
  <c r="W11"/>
  <c r="V11"/>
  <c r="U11"/>
  <c r="T11"/>
  <c r="S11"/>
  <c r="P11"/>
  <c r="O11"/>
  <c r="N11"/>
  <c r="M11"/>
  <c r="L11"/>
  <c r="K11"/>
  <c r="I11"/>
  <c r="F11"/>
  <c r="BH10"/>
  <c r="BG10"/>
  <c r="BE10"/>
  <c r="BD10"/>
  <c r="BC10"/>
  <c r="BB10"/>
  <c r="AZ10"/>
  <c r="AY10"/>
  <c r="AX10"/>
  <c r="AW10"/>
  <c r="AL10"/>
  <c r="AH10"/>
  <c r="X10"/>
  <c r="W10"/>
  <c r="V10"/>
  <c r="U10"/>
  <c r="T10"/>
  <c r="S10"/>
  <c r="P10"/>
  <c r="O10"/>
  <c r="N10"/>
  <c r="M10"/>
  <c r="L10"/>
  <c r="K10"/>
  <c r="I10"/>
  <c r="G10"/>
  <c r="F10"/>
  <c r="BH9"/>
  <c r="BG9"/>
  <c r="BE9"/>
  <c r="BD9"/>
  <c r="BC9"/>
  <c r="BB9"/>
  <c r="AZ9"/>
  <c r="AY9"/>
  <c r="AX9"/>
  <c r="AW9"/>
  <c r="AL9"/>
  <c r="AH9"/>
  <c r="X9"/>
  <c r="W9"/>
  <c r="V9"/>
  <c r="U9"/>
  <c r="T9"/>
  <c r="S9"/>
  <c r="P9"/>
  <c r="O9"/>
  <c r="N9"/>
  <c r="M9"/>
  <c r="L9"/>
  <c r="K9"/>
  <c r="BH8"/>
  <c r="BG8"/>
  <c r="BE8"/>
  <c r="BD8"/>
  <c r="BC8"/>
  <c r="BB8"/>
  <c r="AZ8"/>
  <c r="AY8"/>
  <c r="AX8"/>
  <c r="AW8"/>
  <c r="AL8"/>
  <c r="AH8"/>
  <c r="X8"/>
  <c r="W8"/>
  <c r="V8"/>
  <c r="U8"/>
  <c r="T8"/>
  <c r="S8"/>
  <c r="P8"/>
  <c r="O8"/>
  <c r="N8"/>
  <c r="M8"/>
  <c r="L8"/>
  <c r="K8"/>
  <c r="BP7"/>
  <c r="BO7"/>
  <c r="BN7"/>
  <c r="BM7"/>
  <c r="BH7"/>
  <c r="BG7"/>
  <c r="BE7"/>
  <c r="BD7"/>
  <c r="BC7"/>
  <c r="BB7"/>
  <c r="AZ7"/>
  <c r="AY7"/>
  <c r="AX7"/>
  <c r="AW7"/>
  <c r="AL7"/>
  <c r="AH7"/>
  <c r="X7"/>
  <c r="W7"/>
  <c r="V7"/>
  <c r="U7"/>
  <c r="T7"/>
  <c r="S7"/>
  <c r="P7"/>
  <c r="O7"/>
  <c r="N7"/>
  <c r="M7"/>
  <c r="L7"/>
  <c r="K7"/>
  <c r="AQ3"/>
  <c r="AZ38" i="4"/>
  <c r="AY38"/>
  <c r="AX38"/>
  <c r="AW38"/>
  <c r="AU38"/>
  <c r="AT38"/>
  <c r="AS38"/>
  <c r="AK38"/>
  <c r="AJ38"/>
  <c r="AI38"/>
  <c r="AH38"/>
  <c r="AG38"/>
  <c r="AF38"/>
  <c r="AE38"/>
  <c r="AC38"/>
  <c r="AB38"/>
  <c r="AA38"/>
  <c r="Z38"/>
  <c r="Y38"/>
  <c r="X38"/>
  <c r="W38"/>
  <c r="V38"/>
  <c r="U38"/>
  <c r="T38"/>
  <c r="S38"/>
  <c r="R38"/>
  <c r="AZ37"/>
  <c r="AY37"/>
  <c r="AX37"/>
  <c r="AW37"/>
  <c r="AU37"/>
  <c r="AT37"/>
  <c r="AS37"/>
  <c r="W37"/>
  <c r="V37"/>
  <c r="U37"/>
  <c r="T37"/>
  <c r="S37"/>
  <c r="R37"/>
  <c r="O37"/>
  <c r="N37"/>
  <c r="M37"/>
  <c r="K37"/>
  <c r="AZ36"/>
  <c r="AY36"/>
  <c r="AX36"/>
  <c r="AW36"/>
  <c r="AU36"/>
  <c r="AT36"/>
  <c r="AS36"/>
  <c r="W36"/>
  <c r="V36"/>
  <c r="U36"/>
  <c r="T36"/>
  <c r="S36"/>
  <c r="R36"/>
  <c r="O36"/>
  <c r="N36"/>
  <c r="M36"/>
  <c r="K36"/>
  <c r="AZ35"/>
  <c r="AY35"/>
  <c r="AX35"/>
  <c r="AW35"/>
  <c r="AU35"/>
  <c r="AT35"/>
  <c r="AS35"/>
  <c r="W35"/>
  <c r="V35"/>
  <c r="U35"/>
  <c r="T35"/>
  <c r="S35"/>
  <c r="R35"/>
  <c r="O35"/>
  <c r="N35"/>
  <c r="M35"/>
  <c r="K35"/>
  <c r="AZ34"/>
  <c r="AY34"/>
  <c r="AX34"/>
  <c r="AW34"/>
  <c r="AU34"/>
  <c r="AT34"/>
  <c r="AS34"/>
  <c r="W34"/>
  <c r="V34"/>
  <c r="U34"/>
  <c r="T34"/>
  <c r="S34"/>
  <c r="R34"/>
  <c r="O34"/>
  <c r="N34"/>
  <c r="M34"/>
  <c r="K34"/>
  <c r="AZ33"/>
  <c r="AY33"/>
  <c r="AX33"/>
  <c r="AW33"/>
  <c r="AU33"/>
  <c r="AT33"/>
  <c r="AS33"/>
  <c r="W33"/>
  <c r="V33"/>
  <c r="U33"/>
  <c r="T33"/>
  <c r="S33"/>
  <c r="R33"/>
  <c r="O33"/>
  <c r="N33"/>
  <c r="M33"/>
  <c r="K33"/>
  <c r="AZ32"/>
  <c r="AY32"/>
  <c r="AX32"/>
  <c r="AW32"/>
  <c r="AU32"/>
  <c r="AT32"/>
  <c r="AS32"/>
  <c r="W32"/>
  <c r="V32"/>
  <c r="U32"/>
  <c r="T32"/>
  <c r="S32"/>
  <c r="R32"/>
  <c r="O32"/>
  <c r="N32"/>
  <c r="M32"/>
  <c r="K32"/>
  <c r="AZ31"/>
  <c r="AY31"/>
  <c r="AX31"/>
  <c r="AW31"/>
  <c r="AU31"/>
  <c r="AT31"/>
  <c r="AS31"/>
  <c r="W31"/>
  <c r="V31"/>
  <c r="U31"/>
  <c r="T31"/>
  <c r="S31"/>
  <c r="R31"/>
  <c r="O31"/>
  <c r="N31"/>
  <c r="M31"/>
  <c r="K31"/>
  <c r="AZ30"/>
  <c r="AY30"/>
  <c r="AX30"/>
  <c r="AW30"/>
  <c r="AU30"/>
  <c r="AT30"/>
  <c r="AS30"/>
  <c r="W30"/>
  <c r="V30"/>
  <c r="U30"/>
  <c r="T30"/>
  <c r="S30"/>
  <c r="R30"/>
  <c r="O30"/>
  <c r="N30"/>
  <c r="M30"/>
  <c r="K30"/>
  <c r="AZ29"/>
  <c r="AY29"/>
  <c r="AX29"/>
  <c r="AW29"/>
  <c r="AU29"/>
  <c r="AT29"/>
  <c r="AS29"/>
  <c r="W29"/>
  <c r="V29"/>
  <c r="U29"/>
  <c r="T29"/>
  <c r="S29"/>
  <c r="R29"/>
  <c r="O29"/>
  <c r="N29"/>
  <c r="M29"/>
  <c r="K29"/>
  <c r="AZ28"/>
  <c r="AY28"/>
  <c r="AX28"/>
  <c r="AW28"/>
  <c r="AU28"/>
  <c r="AT28"/>
  <c r="AS28"/>
  <c r="W28"/>
  <c r="V28"/>
  <c r="U28"/>
  <c r="T28"/>
  <c r="S28"/>
  <c r="R28"/>
  <c r="O28"/>
  <c r="N28"/>
  <c r="M28"/>
  <c r="K28"/>
  <c r="AZ27"/>
  <c r="AY27"/>
  <c r="AX27"/>
  <c r="AW27"/>
  <c r="AU27"/>
  <c r="AT27"/>
  <c r="AS27"/>
  <c r="W27"/>
  <c r="V27"/>
  <c r="U27"/>
  <c r="T27"/>
  <c r="S27"/>
  <c r="R27"/>
  <c r="O27"/>
  <c r="N27"/>
  <c r="M27"/>
  <c r="K27"/>
  <c r="AZ26"/>
  <c r="AY26"/>
  <c r="AX26"/>
  <c r="AW26"/>
  <c r="AU26"/>
  <c r="AT26"/>
  <c r="AS26"/>
  <c r="W26"/>
  <c r="V26"/>
  <c r="U26"/>
  <c r="T26"/>
  <c r="S26"/>
  <c r="R26"/>
  <c r="O26"/>
  <c r="N26"/>
  <c r="M26"/>
  <c r="K26"/>
  <c r="AZ25"/>
  <c r="AY25"/>
  <c r="AX25"/>
  <c r="AW25"/>
  <c r="AU25"/>
  <c r="AT25"/>
  <c r="AS25"/>
  <c r="W25"/>
  <c r="V25"/>
  <c r="U25"/>
  <c r="T25"/>
  <c r="S25"/>
  <c r="R25"/>
  <c r="O25"/>
  <c r="N25"/>
  <c r="M25"/>
  <c r="K25"/>
  <c r="AZ24"/>
  <c r="AY24"/>
  <c r="AX24"/>
  <c r="AW24"/>
  <c r="AU24"/>
  <c r="AT24"/>
  <c r="AS24"/>
  <c r="W24"/>
  <c r="V24"/>
  <c r="U24"/>
  <c r="T24"/>
  <c r="S24"/>
  <c r="R24"/>
  <c r="O24"/>
  <c r="N24"/>
  <c r="M24"/>
  <c r="K24"/>
  <c r="AZ23"/>
  <c r="AY23"/>
  <c r="AX23"/>
  <c r="AW23"/>
  <c r="AU23"/>
  <c r="AT23"/>
  <c r="AS23"/>
  <c r="W23"/>
  <c r="V23"/>
  <c r="U23"/>
  <c r="T23"/>
  <c r="S23"/>
  <c r="R23"/>
  <c r="O23"/>
  <c r="N23"/>
  <c r="M23"/>
  <c r="K23"/>
  <c r="AZ22"/>
  <c r="AY22"/>
  <c r="AX22"/>
  <c r="AW22"/>
  <c r="AU22"/>
  <c r="AT22"/>
  <c r="AS22"/>
  <c r="W22"/>
  <c r="V22"/>
  <c r="U22"/>
  <c r="T22"/>
  <c r="S22"/>
  <c r="R22"/>
  <c r="O22"/>
  <c r="N22"/>
  <c r="M22"/>
  <c r="K22"/>
  <c r="AZ21"/>
  <c r="AY21"/>
  <c r="AX21"/>
  <c r="AW21"/>
  <c r="AU21"/>
  <c r="AT21"/>
  <c r="AS21"/>
  <c r="W21"/>
  <c r="V21"/>
  <c r="U21"/>
  <c r="T21"/>
  <c r="S21"/>
  <c r="R21"/>
  <c r="O21"/>
  <c r="N21"/>
  <c r="M21"/>
  <c r="K21"/>
  <c r="AZ20"/>
  <c r="AY20"/>
  <c r="AX20"/>
  <c r="AW20"/>
  <c r="AU20"/>
  <c r="AT20"/>
  <c r="AS20"/>
  <c r="W20"/>
  <c r="V20"/>
  <c r="U20"/>
  <c r="T20"/>
  <c r="S20"/>
  <c r="R20"/>
  <c r="O20"/>
  <c r="N20"/>
  <c r="M20"/>
  <c r="K20"/>
  <c r="AZ19"/>
  <c r="AY19"/>
  <c r="AX19"/>
  <c r="AW19"/>
  <c r="AU19"/>
  <c r="AT19"/>
  <c r="AS19"/>
  <c r="W19"/>
  <c r="V19"/>
  <c r="U19"/>
  <c r="T19"/>
  <c r="S19"/>
  <c r="R19"/>
  <c r="O19"/>
  <c r="N19"/>
  <c r="M19"/>
  <c r="K19"/>
  <c r="AZ18"/>
  <c r="AY18"/>
  <c r="AX18"/>
  <c r="AW18"/>
  <c r="AU18"/>
  <c r="AT18"/>
  <c r="AS18"/>
  <c r="W18"/>
  <c r="V18"/>
  <c r="U18"/>
  <c r="T18"/>
  <c r="S18"/>
  <c r="R18"/>
  <c r="O18"/>
  <c r="N18"/>
  <c r="M18"/>
  <c r="K18"/>
  <c r="AZ17"/>
  <c r="AY17"/>
  <c r="AX17"/>
  <c r="AW17"/>
  <c r="AU17"/>
  <c r="AT17"/>
  <c r="AS17"/>
  <c r="W17"/>
  <c r="V17"/>
  <c r="U17"/>
  <c r="T17"/>
  <c r="S17"/>
  <c r="R17"/>
  <c r="O17"/>
  <c r="N17"/>
  <c r="M17"/>
  <c r="K17"/>
  <c r="J17"/>
  <c r="E17"/>
  <c r="AZ16"/>
  <c r="AY16"/>
  <c r="AX16"/>
  <c r="AW16"/>
  <c r="AU16"/>
  <c r="AT16"/>
  <c r="AS16"/>
  <c r="W16"/>
  <c r="V16"/>
  <c r="U16"/>
  <c r="T16"/>
  <c r="S16"/>
  <c r="R16"/>
  <c r="O16"/>
  <c r="N16"/>
  <c r="M16"/>
  <c r="K16"/>
  <c r="AZ15"/>
  <c r="AY15"/>
  <c r="AX15"/>
  <c r="AW15"/>
  <c r="AU15"/>
  <c r="AT15"/>
  <c r="AS15"/>
  <c r="W15"/>
  <c r="V15"/>
  <c r="U15"/>
  <c r="T15"/>
  <c r="S15"/>
  <c r="R15"/>
  <c r="O15"/>
  <c r="N15"/>
  <c r="M15"/>
  <c r="K15"/>
  <c r="AZ14"/>
  <c r="AY14"/>
  <c r="AX14"/>
  <c r="AW14"/>
  <c r="AU14"/>
  <c r="AT14"/>
  <c r="AS14"/>
  <c r="W14"/>
  <c r="V14"/>
  <c r="U14"/>
  <c r="T14"/>
  <c r="S14"/>
  <c r="R14"/>
  <c r="O14"/>
  <c r="N14"/>
  <c r="M14"/>
  <c r="K14"/>
  <c r="AZ13"/>
  <c r="AY13"/>
  <c r="AX13"/>
  <c r="AW13"/>
  <c r="AU13"/>
  <c r="AT13"/>
  <c r="AS13"/>
  <c r="W13"/>
  <c r="V13"/>
  <c r="U13"/>
  <c r="T13"/>
  <c r="S13"/>
  <c r="R13"/>
  <c r="O13"/>
  <c r="N13"/>
  <c r="M13"/>
  <c r="K13"/>
  <c r="I13"/>
  <c r="G13"/>
  <c r="F13"/>
  <c r="AZ12"/>
  <c r="AY12"/>
  <c r="AX12"/>
  <c r="AW12"/>
  <c r="AU12"/>
  <c r="AT12"/>
  <c r="AS12"/>
  <c r="W12"/>
  <c r="V12"/>
  <c r="U12"/>
  <c r="T12"/>
  <c r="S12"/>
  <c r="R12"/>
  <c r="O12"/>
  <c r="N12"/>
  <c r="M12"/>
  <c r="K12"/>
  <c r="I12"/>
  <c r="G12"/>
  <c r="F12"/>
  <c r="AZ11"/>
  <c r="AY11"/>
  <c r="AX11"/>
  <c r="AW11"/>
  <c r="AU11"/>
  <c r="AT11"/>
  <c r="AS11"/>
  <c r="W11"/>
  <c r="V11"/>
  <c r="U11"/>
  <c r="T11"/>
  <c r="S11"/>
  <c r="R11"/>
  <c r="O11"/>
  <c r="N11"/>
  <c r="M11"/>
  <c r="K11"/>
  <c r="I11"/>
  <c r="G11"/>
  <c r="F11"/>
  <c r="AZ10"/>
  <c r="AY10"/>
  <c r="AX10"/>
  <c r="AW10"/>
  <c r="AU10"/>
  <c r="AT10"/>
  <c r="AS10"/>
  <c r="W10"/>
  <c r="V10"/>
  <c r="U10"/>
  <c r="T10"/>
  <c r="S10"/>
  <c r="R10"/>
  <c r="O10"/>
  <c r="N10"/>
  <c r="M10"/>
  <c r="K10"/>
  <c r="I10"/>
  <c r="G10"/>
  <c r="F10"/>
  <c r="AZ9"/>
  <c r="AY9"/>
  <c r="AX9"/>
  <c r="AW9"/>
  <c r="AU9"/>
  <c r="AT9"/>
  <c r="AS9"/>
  <c r="AO9"/>
  <c r="AN9"/>
  <c r="AM9"/>
  <c r="W9"/>
  <c r="V9"/>
  <c r="U9"/>
  <c r="T9"/>
  <c r="S9"/>
  <c r="R9"/>
  <c r="O9"/>
  <c r="N9"/>
  <c r="M9"/>
  <c r="K9"/>
  <c r="AZ8"/>
  <c r="AY8"/>
  <c r="AX8"/>
  <c r="AW8"/>
  <c r="AU8"/>
  <c r="AT8"/>
  <c r="AS8"/>
  <c r="AC8"/>
  <c r="Z8"/>
  <c r="W8"/>
  <c r="V8"/>
  <c r="U8"/>
  <c r="T8"/>
  <c r="S8"/>
  <c r="R8"/>
  <c r="O8"/>
  <c r="N8"/>
  <c r="M8"/>
  <c r="K8"/>
  <c r="AZ7"/>
  <c r="AY7"/>
  <c r="AX7"/>
  <c r="AW7"/>
  <c r="AU7"/>
  <c r="AT7"/>
  <c r="AS7"/>
  <c r="AO7"/>
  <c r="AN7"/>
  <c r="AM7"/>
  <c r="AC7"/>
  <c r="Z7"/>
  <c r="W7"/>
  <c r="V7"/>
  <c r="U7"/>
  <c r="T7"/>
  <c r="S7"/>
  <c r="R7"/>
  <c r="O7"/>
  <c r="N7"/>
  <c r="M7"/>
  <c r="K7"/>
  <c r="AM3"/>
  <c r="M15" i="17"/>
  <c r="L15"/>
  <c r="K15"/>
  <c r="J15"/>
  <c r="I15"/>
  <c r="H15"/>
  <c r="G15"/>
  <c r="F15"/>
  <c r="E15"/>
  <c r="D15"/>
  <c r="C15"/>
  <c r="M14"/>
  <c r="L14"/>
  <c r="K14"/>
  <c r="J14"/>
  <c r="I14"/>
  <c r="H14"/>
  <c r="G14"/>
  <c r="F14"/>
  <c r="E14"/>
  <c r="D14"/>
  <c r="C14"/>
  <c r="M13"/>
  <c r="L13"/>
  <c r="K13"/>
  <c r="M12"/>
  <c r="L12"/>
  <c r="K12"/>
  <c r="M11"/>
  <c r="L11"/>
  <c r="K11"/>
  <c r="M10"/>
  <c r="L10"/>
  <c r="K10"/>
  <c r="J10"/>
  <c r="I10"/>
  <c r="H10"/>
  <c r="G10"/>
  <c r="F10"/>
  <c r="E10"/>
  <c r="D10"/>
  <c r="C10"/>
  <c r="M9"/>
  <c r="L9"/>
  <c r="K9"/>
  <c r="M8"/>
  <c r="L8"/>
  <c r="K8"/>
  <c r="M7"/>
  <c r="L7"/>
  <c r="K7"/>
  <c r="M6"/>
  <c r="L6"/>
  <c r="K6"/>
  <c r="M5"/>
  <c r="L5"/>
  <c r="K5"/>
  <c r="P22" i="3"/>
  <c r="O22"/>
  <c r="N22"/>
  <c r="F22"/>
  <c r="P21"/>
  <c r="O21"/>
  <c r="N21"/>
  <c r="F21"/>
  <c r="P20"/>
  <c r="O20"/>
  <c r="N20"/>
  <c r="F20"/>
  <c r="P19"/>
  <c r="O19"/>
  <c r="N19"/>
  <c r="F19"/>
  <c r="P17"/>
  <c r="O17"/>
  <c r="N17"/>
  <c r="P16"/>
  <c r="O16"/>
  <c r="N16"/>
  <c r="P15"/>
  <c r="O15"/>
  <c r="N15"/>
  <c r="P14"/>
  <c r="O14"/>
  <c r="N14"/>
  <c r="P13"/>
  <c r="O13"/>
  <c r="N13"/>
  <c r="P12"/>
  <c r="O12"/>
  <c r="N12"/>
  <c r="T7"/>
  <c r="T6"/>
  <c r="F8" i="9"/>
  <c r="D8"/>
  <c r="F6"/>
  <c r="D6"/>
</calcChain>
</file>

<file path=xl/comments1.xml><?xml version="1.0" encoding="utf-8"?>
<comments xmlns="http://schemas.openxmlformats.org/spreadsheetml/2006/main">
  <authors>
    <author>DELL</author>
  </authors>
  <commentList>
    <comment ref="E15" authorId="0">
      <text>
        <r>
          <rPr>
            <b/>
            <sz val="11"/>
            <color indexed="81"/>
            <rFont val="Tahoma"/>
            <family val="2"/>
          </rPr>
          <t>Ummed:आवश्यक हो तो ही संशोधन करें.</t>
        </r>
        <r>
          <rPr>
            <sz val="11"/>
            <color indexed="81"/>
            <rFont val="Tahoma"/>
            <family val="2"/>
          </rPr>
          <t xml:space="preserve">
</t>
        </r>
      </text>
    </comment>
    <comment ref="E16" authorId="0">
      <text>
        <r>
          <rPr>
            <b/>
            <sz val="9"/>
            <color indexed="81"/>
            <rFont val="Tahoma"/>
            <family val="2"/>
          </rPr>
          <t>Ummed:आवश्यक हो तो ही संशोधन करें.</t>
        </r>
      </text>
    </comment>
    <comment ref="E17" authorId="0">
      <text>
        <r>
          <rPr>
            <b/>
            <sz val="9"/>
            <color indexed="81"/>
            <rFont val="Tahoma"/>
            <family val="2"/>
          </rPr>
          <t>Ummed:आवश्यक हो तो ही संशोधन करें.</t>
        </r>
      </text>
    </comment>
    <comment ref="E18" authorId="0">
      <text>
        <r>
          <rPr>
            <b/>
            <sz val="9"/>
            <color indexed="81"/>
            <rFont val="Tahoma"/>
            <family val="2"/>
          </rPr>
          <t>Ummed:आवश्यक हो तो ही संशोधन करें.</t>
        </r>
      </text>
    </comment>
    <comment ref="E19" authorId="0">
      <text>
        <r>
          <rPr>
            <b/>
            <sz val="9"/>
            <color indexed="81"/>
            <rFont val="Tahoma"/>
            <family val="2"/>
          </rPr>
          <t>Ummed:आवश्यक हो तो ही संशोधन करें.</t>
        </r>
      </text>
    </comment>
    <comment ref="E20" authorId="0">
      <text>
        <r>
          <rPr>
            <b/>
            <sz val="9"/>
            <color indexed="81"/>
            <rFont val="Tahoma"/>
            <family val="2"/>
          </rPr>
          <t>Ummed:आवश्यक हो तो ही संशोधन करें.</t>
        </r>
        <r>
          <rPr>
            <sz val="9"/>
            <color indexed="81"/>
            <rFont val="Tahoma"/>
            <family val="2"/>
          </rPr>
          <t xml:space="preserve">
</t>
        </r>
      </text>
    </comment>
  </commentList>
</comments>
</file>

<file path=xl/comments2.xml><?xml version="1.0" encoding="utf-8"?>
<comments xmlns="http://schemas.openxmlformats.org/spreadsheetml/2006/main">
  <authors>
    <author>DELL</author>
  </authors>
  <commentList>
    <comment ref="N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 ref="P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List>
</comments>
</file>

<file path=xl/comments3.xml><?xml version="1.0" encoding="utf-8"?>
<comments xmlns="http://schemas.openxmlformats.org/spreadsheetml/2006/main">
  <authors>
    <author>DELL</author>
  </authors>
  <commentList>
    <comment ref="O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 ref="Q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List>
</comments>
</file>

<file path=xl/sharedStrings.xml><?xml version="1.0" encoding="utf-8"?>
<sst xmlns="http://schemas.openxmlformats.org/spreadsheetml/2006/main" count="1126" uniqueCount="489">
  <si>
    <t>School Monthly Data For:-</t>
  </si>
  <si>
    <t xml:space="preserve">School Details </t>
  </si>
  <si>
    <t>School Dise Code</t>
  </si>
  <si>
    <t>School Name</t>
  </si>
  <si>
    <t>School Type</t>
  </si>
  <si>
    <t>Rural</t>
  </si>
  <si>
    <t xml:space="preserve">Category </t>
  </si>
  <si>
    <t>State</t>
  </si>
  <si>
    <t>Rajasthan</t>
  </si>
  <si>
    <t>District</t>
  </si>
  <si>
    <t>Village/Ward</t>
  </si>
  <si>
    <t>Block</t>
  </si>
  <si>
    <t>MDM Incharge</t>
  </si>
  <si>
    <t>MDM Incharge Mobile No.</t>
  </si>
  <si>
    <t>Strenght</t>
  </si>
  <si>
    <t>1 To 5</t>
  </si>
  <si>
    <t>Whatsapp No. Of MDM Incharge/ Head Of Institution</t>
  </si>
  <si>
    <t>6 To 8</t>
  </si>
  <si>
    <t>MDM Code</t>
  </si>
  <si>
    <t>;ksx</t>
  </si>
  <si>
    <t>OTHER</t>
  </si>
  <si>
    <t>SC</t>
  </si>
  <si>
    <t>ST</t>
  </si>
  <si>
    <t>TOTAL</t>
  </si>
  <si>
    <t>……………………</t>
  </si>
  <si>
    <t>d{kk 6 ls 8</t>
  </si>
  <si>
    <t>Bank Name/Adress</t>
  </si>
  <si>
    <t>SBI Osian</t>
  </si>
  <si>
    <t>Account No.</t>
  </si>
  <si>
    <t>Bank IFSC Code</t>
  </si>
  <si>
    <t>SBIN0031206</t>
  </si>
  <si>
    <t>MDM Inchage Name</t>
  </si>
  <si>
    <t>MDM Incharge Mobile No-</t>
  </si>
  <si>
    <t>Bapini</t>
  </si>
  <si>
    <t>Raimalwada</t>
  </si>
  <si>
    <t>School Type:-</t>
  </si>
  <si>
    <t>District:-</t>
  </si>
  <si>
    <t>Village/Ward:-</t>
  </si>
  <si>
    <t>Bank Name/Adress:-</t>
  </si>
  <si>
    <t>Bank IFSC Code:-</t>
  </si>
  <si>
    <t>MDM Incharge Mobile No:-</t>
  </si>
  <si>
    <t>Block:-</t>
  </si>
  <si>
    <t>MDM Code:-</t>
  </si>
  <si>
    <t>Account No.:-</t>
  </si>
  <si>
    <t>MDM Inchage Name:-</t>
  </si>
  <si>
    <t>Principal Mob. Number:-</t>
  </si>
  <si>
    <t>Whatsapp No. Of MDM Incharge/ Head Of Institution:-</t>
  </si>
  <si>
    <t>Aadhar Number</t>
  </si>
  <si>
    <t xml:space="preserve">                        MDM Code:-</t>
  </si>
  <si>
    <t>[kk|kUu</t>
  </si>
  <si>
    <t>विकेन्द्रीयकृत रसोईघर के लिए दिनवार भोजन मेन्यू</t>
  </si>
  <si>
    <t>वार</t>
  </si>
  <si>
    <t>भोजन</t>
  </si>
  <si>
    <t>विशेष विवरण</t>
  </si>
  <si>
    <t xml:space="preserve">दूध </t>
  </si>
  <si>
    <t>d{kk 1 ls 5</t>
  </si>
  <si>
    <t>Total</t>
  </si>
  <si>
    <t>Other</t>
  </si>
  <si>
    <t>January</t>
  </si>
  <si>
    <t>February</t>
  </si>
  <si>
    <t>March</t>
  </si>
  <si>
    <t>April</t>
  </si>
  <si>
    <t>May</t>
  </si>
  <si>
    <t>June</t>
  </si>
  <si>
    <t>July</t>
  </si>
  <si>
    <t>August</t>
  </si>
  <si>
    <t>September</t>
  </si>
  <si>
    <t>October</t>
  </si>
  <si>
    <t>November</t>
  </si>
  <si>
    <t>December</t>
  </si>
  <si>
    <t>Start Date</t>
  </si>
  <si>
    <t>Total Day in this month</t>
  </si>
  <si>
    <t>End Date</t>
  </si>
  <si>
    <t>रवि॰अव॰</t>
  </si>
  <si>
    <t>शिक्षक सम्मे॰</t>
  </si>
  <si>
    <t>स्था॰अव॰</t>
  </si>
  <si>
    <t>मोहर्रम</t>
  </si>
  <si>
    <t>ईदुल-फ़ितर</t>
  </si>
  <si>
    <t>ईदुल-जुहा</t>
  </si>
  <si>
    <t>शिवरात्रि</t>
  </si>
  <si>
    <t>क्ले॰द्वारा घौ॰</t>
  </si>
  <si>
    <t>होलिका अव॰</t>
  </si>
  <si>
    <t>चैटिचंड</t>
  </si>
  <si>
    <t>रामनवमी</t>
  </si>
  <si>
    <t>महावीर ज॰</t>
  </si>
  <si>
    <t>गुड फ्रा॰</t>
  </si>
  <si>
    <t>अम्बे॰ज॰</t>
  </si>
  <si>
    <t>रक्षाबंधन</t>
  </si>
  <si>
    <t>जन्माष्टमी</t>
  </si>
  <si>
    <t>म॰गांधी ज॰</t>
  </si>
  <si>
    <t>दुर्गाष्टमी</t>
  </si>
  <si>
    <t>शीत॰अव॰</t>
  </si>
  <si>
    <t>दीपा॰ अव॰</t>
  </si>
  <si>
    <t>गु॰नानक॰ज॰</t>
  </si>
  <si>
    <t>क्रिसमस</t>
  </si>
  <si>
    <t>म॰प्रताप ज॰</t>
  </si>
  <si>
    <t>गु॰गोविंद॰ज॰</t>
  </si>
  <si>
    <t>स्व॰दिवस</t>
  </si>
  <si>
    <t>गण॰दिवस</t>
  </si>
  <si>
    <t>परशुराम ज॰</t>
  </si>
  <si>
    <t>रा॰दे॰/तेजा ज॰</t>
  </si>
  <si>
    <t>दशहरा</t>
  </si>
  <si>
    <t>ग्रीष्मावकाश</t>
  </si>
  <si>
    <t>खुला</t>
  </si>
  <si>
    <t>dksM</t>
  </si>
  <si>
    <t>बरवफ़ात</t>
  </si>
  <si>
    <t>Sr.Sec.(I to XII)</t>
  </si>
  <si>
    <t>Monday</t>
  </si>
  <si>
    <t>Tuesday</t>
  </si>
  <si>
    <t>Wednesday</t>
  </si>
  <si>
    <t>Thursday</t>
  </si>
  <si>
    <t>Friday</t>
  </si>
  <si>
    <t>Saturday</t>
  </si>
  <si>
    <t>---</t>
  </si>
  <si>
    <t>Whatsapp No. Of MDM Incharge/ Head Of Inst.</t>
  </si>
  <si>
    <t>Wheat</t>
  </si>
  <si>
    <t>Rice</t>
  </si>
  <si>
    <r>
      <t>dqy ¼3</t>
    </r>
    <r>
      <rPr>
        <b/>
        <sz val="16"/>
        <color theme="0"/>
        <rFont val="Kruti Dev 010"/>
      </rPr>
      <t>$</t>
    </r>
    <r>
      <rPr>
        <b/>
        <sz val="16"/>
        <color theme="0"/>
        <rFont val="DevLys 010"/>
      </rPr>
      <t>4</t>
    </r>
    <r>
      <rPr>
        <b/>
        <sz val="16"/>
        <color theme="0"/>
        <rFont val="Kruti Dev 010"/>
      </rPr>
      <t>$</t>
    </r>
    <r>
      <rPr>
        <b/>
        <sz val="16"/>
        <color theme="0"/>
        <rFont val="DevLys 010"/>
      </rPr>
      <t>5</t>
    </r>
    <r>
      <rPr>
        <b/>
        <sz val="16"/>
        <color theme="0"/>
        <rFont val="Kruti Dev 010"/>
      </rPr>
      <t>$</t>
    </r>
    <r>
      <rPr>
        <b/>
        <sz val="16"/>
        <color theme="0"/>
        <rFont val="DevLys 010"/>
      </rPr>
      <t>6½</t>
    </r>
  </si>
  <si>
    <t>1 to 5</t>
  </si>
  <si>
    <t>6 to 8</t>
  </si>
  <si>
    <t>Milk</t>
  </si>
  <si>
    <t>Grand Total</t>
  </si>
  <si>
    <t>क्र.सं.</t>
  </si>
  <si>
    <t>दिनांक</t>
  </si>
  <si>
    <t>हस्ताक्षर प्रभारी</t>
  </si>
  <si>
    <t>प्रारम्भिक शेष (Kg)</t>
  </si>
  <si>
    <t>योग (Kg)</t>
  </si>
  <si>
    <t>अंतिम शेष (Kg)</t>
  </si>
  <si>
    <t>कक्षा 1 से 5</t>
  </si>
  <si>
    <t>कक्षा 6 से 8</t>
  </si>
  <si>
    <t>योग</t>
  </si>
  <si>
    <t>लाभान्वित विद्यार्थियों की संख्या</t>
  </si>
  <si>
    <t>दुग्ध गुणवता के मानक</t>
  </si>
  <si>
    <t>जांचकर्ता की टिपण्णी (यदि कोई हो तो)</t>
  </si>
  <si>
    <t>हस्ताक्षर जांचकर्ता</t>
  </si>
  <si>
    <t>रंग</t>
  </si>
  <si>
    <t>गंध</t>
  </si>
  <si>
    <t>मिठास</t>
  </si>
  <si>
    <t>स्वाद</t>
  </si>
  <si>
    <t xml:space="preserve">Prepared By:-Ummed Tarad </t>
  </si>
  <si>
    <t>खाद्यान्न मात्रा (Kg)</t>
  </si>
  <si>
    <t>गेहूं</t>
  </si>
  <si>
    <t>चावल</t>
  </si>
  <si>
    <t>माह के दौरान खर्च (Kg)</t>
  </si>
  <si>
    <t>Bhanwari Devi</t>
  </si>
  <si>
    <t>Female</t>
  </si>
  <si>
    <t>OBC</t>
  </si>
  <si>
    <t>ukekadu</t>
  </si>
  <si>
    <t>Nk=</t>
  </si>
  <si>
    <t>Nk=k</t>
  </si>
  <si>
    <t xml:space="preserve">                School Category:-</t>
  </si>
  <si>
    <t>Month and Year:-</t>
  </si>
  <si>
    <t>चावल एवं दाल/सब्जी</t>
  </si>
  <si>
    <t>Sugar</t>
  </si>
  <si>
    <t>Sup. (वितरक) से प्राप्त (Kg)</t>
  </si>
  <si>
    <t>Other Source से प्राप्त (Kg)</t>
  </si>
  <si>
    <t>नामांकन</t>
  </si>
  <si>
    <t>उपस्थित विद्यार्थी</t>
  </si>
  <si>
    <t>लाभान्वित विद्यार्थी</t>
  </si>
  <si>
    <t>छात्र</t>
  </si>
  <si>
    <t>छात्रा</t>
  </si>
  <si>
    <t>Supply से प्राप्त (1 to 5)</t>
  </si>
  <si>
    <t>Wheat =</t>
  </si>
  <si>
    <t>Rice =</t>
  </si>
  <si>
    <t>Other Source से प्राप्त/दिए (1 to 5)</t>
  </si>
  <si>
    <t>अंतिम शेष (कक्षा 1 से 5)</t>
  </si>
  <si>
    <t>गेहूं =</t>
  </si>
  <si>
    <t>चावल =</t>
  </si>
  <si>
    <t>खाद्यान्न स्टॉक पंजिका (कक्षा 1 से 5)</t>
  </si>
  <si>
    <t>विद्यार्थियों से सम्बंधित आंकड़े</t>
  </si>
  <si>
    <t>खाद्यान्न स्टॉक पंजिका (कक्षा 6 से 8)</t>
  </si>
  <si>
    <t>खाद्यान्न स्टॉक पंजिका (कक्षा 1 से 8)</t>
  </si>
  <si>
    <t>कक्षा 1 से 8</t>
  </si>
  <si>
    <t>I</t>
  </si>
  <si>
    <t>II</t>
  </si>
  <si>
    <t>III</t>
  </si>
  <si>
    <t>IV</t>
  </si>
  <si>
    <t>V</t>
  </si>
  <si>
    <t>VI</t>
  </si>
  <si>
    <t>VII</t>
  </si>
  <si>
    <t>VIII</t>
  </si>
  <si>
    <t>d{kk&amp;1</t>
  </si>
  <si>
    <t>d{kk&amp;2</t>
  </si>
  <si>
    <t>d{kk&amp;3</t>
  </si>
  <si>
    <t>d{kk&amp;4</t>
  </si>
  <si>
    <t>d{kk&amp;5</t>
  </si>
  <si>
    <t>d{kk&amp;6</t>
  </si>
  <si>
    <t>d{kk&amp;7</t>
  </si>
  <si>
    <t>d{kk&amp;8</t>
  </si>
  <si>
    <t>(मुख्यमंत्री बाल गोपाल दुग्ध वितरण योजना)</t>
  </si>
  <si>
    <t>कक्षावार नामांकित विद्यार्थी</t>
  </si>
  <si>
    <t>कक्षा-1</t>
  </si>
  <si>
    <t>कक्षा-2</t>
  </si>
  <si>
    <t>कक्षा-3</t>
  </si>
  <si>
    <t>कक्षा-4</t>
  </si>
  <si>
    <t>कक्षा-5</t>
  </si>
  <si>
    <t>कक्षा-6</t>
  </si>
  <si>
    <t>कक्षा-7</t>
  </si>
  <si>
    <t>कक्षा-8</t>
  </si>
  <si>
    <t>सर्वयोग</t>
  </si>
  <si>
    <t>प्रति विद्यार्थी</t>
  </si>
  <si>
    <t>दुग्ध पाउडर</t>
  </si>
  <si>
    <t>चीनी</t>
  </si>
  <si>
    <t>तैयार दुग्ध</t>
  </si>
  <si>
    <t>150 मि.ली.</t>
  </si>
  <si>
    <t>200 मि.ली.</t>
  </si>
  <si>
    <t>लाभान्वित कक्षा 1 से 5</t>
  </si>
  <si>
    <t>कक्षा</t>
  </si>
  <si>
    <t>लाभान्वित कक्षा 6 से 8</t>
  </si>
  <si>
    <t>कुल लाभान्वित (1 से 8)</t>
  </si>
  <si>
    <t>कुल दुग्ध वितरण</t>
  </si>
  <si>
    <t>योग (कुल खपत) 1-8 तक</t>
  </si>
  <si>
    <t>कुल चीनी वितरण</t>
  </si>
  <si>
    <t>दुग्ध चालान संख्या</t>
  </si>
  <si>
    <t>दुग्ध पावडर वितरण</t>
  </si>
  <si>
    <t>गत शेष</t>
  </si>
  <si>
    <t>सप्लायर्स से प्राप्त</t>
  </si>
  <si>
    <t>शेष</t>
  </si>
  <si>
    <t>चीनी वितरण</t>
  </si>
  <si>
    <t>प्राप्त/ खरीद</t>
  </si>
  <si>
    <t>कुल योग</t>
  </si>
  <si>
    <t>अन्य स्त्रोत से प्राप्त</t>
  </si>
  <si>
    <t>कुक कम हैल्पर-विवरण व भुगतान तालिका</t>
  </si>
  <si>
    <t>नाम</t>
  </si>
  <si>
    <t>जाति</t>
  </si>
  <si>
    <t>देय राशि</t>
  </si>
  <si>
    <t>पिछला शेष</t>
  </si>
  <si>
    <t xml:space="preserve">इस माह का </t>
  </si>
  <si>
    <t>भुगतान राशि</t>
  </si>
  <si>
    <t>अंत में शेष राशि</t>
  </si>
  <si>
    <t>समस्त भुगतान विवरण</t>
  </si>
  <si>
    <t>नाम सामग्री</t>
  </si>
  <si>
    <t>नाम क्रेता</t>
  </si>
  <si>
    <t>वजन</t>
  </si>
  <si>
    <t>दर</t>
  </si>
  <si>
    <t>राशि</t>
  </si>
  <si>
    <t>दूध</t>
  </si>
  <si>
    <t>गैस</t>
  </si>
  <si>
    <t>कुक कम हैल्पर</t>
  </si>
  <si>
    <t>अन्य</t>
  </si>
  <si>
    <t>वित्तीय स्थिति</t>
  </si>
  <si>
    <t>प्रारम्भिक शेष</t>
  </si>
  <si>
    <t>प्राप्त राशि</t>
  </si>
  <si>
    <t>शेष राशि</t>
  </si>
  <si>
    <t>SDMC/SMC द्वारा प्रमाणीकरण</t>
  </si>
  <si>
    <t>हस्ताक्षर जाँचकर्त्ता</t>
  </si>
  <si>
    <t>हस्ताक्षर संस्था प्रधान</t>
  </si>
  <si>
    <t>हस्ताक्षर प्रमाणितकर्त्ता</t>
  </si>
  <si>
    <t>Month:-</t>
  </si>
  <si>
    <t>इस एक्सेल प्रोग्राम के सम्बन्ध में कुछ महत्वपूर्ण निर्देश</t>
  </si>
  <si>
    <t xml:space="preserve">कक्षा स्तर </t>
  </si>
  <si>
    <t>पाउडर मात्रा</t>
  </si>
  <si>
    <t>तैयार दुग्ध मात्रा</t>
  </si>
  <si>
    <t>चीनी मात्रा</t>
  </si>
  <si>
    <t>1 से 5</t>
  </si>
  <si>
    <t>6 से 8</t>
  </si>
  <si>
    <r>
      <t xml:space="preserve">2. मध्यान्ह भोजन योजना हेतु आवश्यक प्रपत्र </t>
    </r>
    <r>
      <rPr>
        <b/>
        <sz val="11"/>
        <color rgb="FFFF0000"/>
        <rFont val="Cambria"/>
        <family val="1"/>
        <scheme val="major"/>
      </rPr>
      <t>"MPR"</t>
    </r>
    <r>
      <rPr>
        <b/>
        <sz val="11"/>
        <color rgb="FF002060"/>
        <rFont val="Cambria"/>
        <family val="1"/>
        <scheme val="major"/>
      </rPr>
      <t xml:space="preserve">  में आवश्यक हो तो पिंक रंग की सेल्स में आवश्यक पूर्तियां करें,शेष औटोमैतेड प्रिंट लेवें l</t>
    </r>
  </si>
  <si>
    <r>
      <t xml:space="preserve"> 3. अन्य सारे प्रपत्र यथा- </t>
    </r>
    <r>
      <rPr>
        <b/>
        <sz val="12"/>
        <color rgb="FFFF0000"/>
        <rFont val="Cambria"/>
        <family val="1"/>
        <scheme val="major"/>
      </rPr>
      <t>"खाद्यान्न  वितरण एवं स्टॉक पंजिका"</t>
    </r>
    <r>
      <rPr>
        <b/>
        <sz val="12"/>
        <color rgb="FF002060"/>
        <rFont val="Cambria"/>
        <family val="1"/>
        <scheme val="major"/>
      </rPr>
      <t xml:space="preserve">, </t>
    </r>
    <r>
      <rPr>
        <b/>
        <sz val="12"/>
        <color rgb="FFFF0000"/>
        <rFont val="Cambria"/>
        <family val="1"/>
        <scheme val="major"/>
      </rPr>
      <t>"मासिक उपयोगिता प्रमाण-पत्र",</t>
    </r>
    <r>
      <rPr>
        <b/>
        <sz val="12"/>
        <color rgb="FF002060"/>
        <rFont val="Cambria"/>
        <family val="1"/>
        <scheme val="major"/>
      </rPr>
      <t xml:space="preserve"> </t>
    </r>
    <r>
      <rPr>
        <b/>
        <sz val="12"/>
        <color rgb="FFFF0000"/>
        <rFont val="Cambria"/>
        <family val="1"/>
        <scheme val="major"/>
      </rPr>
      <t>"दुग्ध वितरण एवं दुग्ध स्टॉक पंजिका"</t>
    </r>
    <r>
      <rPr>
        <b/>
        <sz val="12"/>
        <color rgb="FF002060"/>
        <rFont val="Cambria"/>
        <family val="1"/>
        <scheme val="major"/>
      </rPr>
      <t xml:space="preserve"> एवं </t>
    </r>
    <r>
      <rPr>
        <b/>
        <sz val="12"/>
        <color rgb="FFFF0000"/>
        <rFont val="Cambria"/>
        <family val="1"/>
        <scheme val="major"/>
      </rPr>
      <t>"दुग्ध गुणवत्ता पंजिका"</t>
    </r>
    <r>
      <rPr>
        <b/>
        <sz val="12"/>
        <color rgb="FF002060"/>
        <rFont val="Cambria"/>
        <family val="1"/>
        <scheme val="major"/>
      </rPr>
      <t xml:space="preserve"> स्वत; ही तैयार हो जायेंगे, आवश्यकतानुसार प्रिंट लेवें.</t>
    </r>
  </si>
  <si>
    <t>Office:</t>
  </si>
  <si>
    <t>School U-DISE Code:-</t>
  </si>
  <si>
    <t>कुल</t>
  </si>
  <si>
    <t>कक्षा 1 से 5 पोषाहार खपत प्रतिविद्यार्थी प्रतिदिन :-</t>
  </si>
  <si>
    <t>कक्षा 1 से 5 कूकिंग कन्वर्जन दर प्रति विद्यार्थी :-</t>
  </si>
  <si>
    <t>कक्षा 6 से 8 कूकिंग कन्वर्जन दर प्रति विद्यार्थी :-</t>
  </si>
  <si>
    <t>कक्षा 6 से 8 पोषाहार खपत प्रतिविद्यार्थी प्रतिदिन :-</t>
  </si>
  <si>
    <t>कक्षा 1 से 5 चीनी दर :-</t>
  </si>
  <si>
    <t>कक्षा 6 से 8 चीनी दर :-</t>
  </si>
  <si>
    <t>चीनी (1 से 5) ग्राम/विद्यार्थी</t>
  </si>
  <si>
    <t>चीनी (6 से 8) ग्राम/विद्यार्थी</t>
  </si>
  <si>
    <t>कुक कम हैल्पर विवरण</t>
  </si>
  <si>
    <t>लिंग</t>
  </si>
  <si>
    <t>जाति धर्म</t>
  </si>
  <si>
    <t>मानदेय/कुक</t>
  </si>
  <si>
    <t>खाद्यान्न स्टॉक (मात्रा कि.ग्रा. में दर्ज करें)</t>
  </si>
  <si>
    <t>खाद्यान्न</t>
  </si>
  <si>
    <t>को शेष</t>
  </si>
  <si>
    <t>से गत माह के अंत तक प्राप्त</t>
  </si>
  <si>
    <t>अन्य स्त्रोत से उधार लिया व दिया (+/-)</t>
  </si>
  <si>
    <t>राशन डीलर से उधार लिया व दिया (+/-)</t>
  </si>
  <si>
    <t>से गत माह तक व्यय</t>
  </si>
  <si>
    <t>वर्गवार लाभान्वित विद्यार्थियों की संख्या</t>
  </si>
  <si>
    <t>समेकित मासिक लाभान्वित विद्यार्थी संख्या</t>
  </si>
  <si>
    <t>अवकाश/खुला</t>
  </si>
  <si>
    <t>आज का मीनू</t>
  </si>
  <si>
    <t>लाभान्वित</t>
  </si>
  <si>
    <t>सप्लायर्स (सरकार) से माह के दौरान प्राप्त</t>
  </si>
  <si>
    <t>सप्लायर्स से प्राप्त गेहूं (कि.ग्रा.)</t>
  </si>
  <si>
    <t>सप्लायर्स से प्राप्त चावल (कि.ग्रा.)</t>
  </si>
  <si>
    <t>अन्यत्र से प्राप्त गेहूं (कि.ग्रा.)</t>
  </si>
  <si>
    <t>अन्यत्र से प्राप्त चावल (कि.ग्रा.)</t>
  </si>
  <si>
    <t>माह के दौरान आहार से लाभान्वित विद्यार्थी संख्या</t>
  </si>
  <si>
    <t xml:space="preserve">नोट :- किसी ड्रॉप डाउन लिस्ट को आवश्यक हो तो ही छेड़ें अर्थात ड्रॉप डाउन लिस्ट में ऑटो आने वाले विकल्प के अलावा विकल्प को विशेष परिस्थिति में ही चयन करें. </t>
  </si>
  <si>
    <t>दुग्ध एवं चीनी स्टॉक (मात्रा किग्रा मेंलिखें)</t>
  </si>
  <si>
    <t>पदार्थ</t>
  </si>
  <si>
    <t xml:space="preserve">सप्लायर्स (सरकार) से माह के दौरान प्राप्त </t>
  </si>
  <si>
    <t>अन्य स्त्रोत से उधार लिया या दिया (+/-)</t>
  </si>
  <si>
    <t>राशन डीलर से उधार लिया या दिया (+/-)</t>
  </si>
  <si>
    <t>dqy ¼3$4$5$6½</t>
  </si>
  <si>
    <t>से गत माह तक प्राप्त</t>
  </si>
  <si>
    <t>सप्लायर्स से माह में प्राप्त दुग्ध (किग्रा)</t>
  </si>
  <si>
    <t>किसी स्त्रोत से खरीदी चीनी मात्रा (किग्रा)</t>
  </si>
  <si>
    <t>1- माह</t>
  </si>
  <si>
    <t>हेतु भुगतान योग्य राशि का विवरण</t>
  </si>
  <si>
    <t>कक्षा 1 से 5 लाभान्वित विद्यार्थी संख्या</t>
  </si>
  <si>
    <t>कक्षा 6 से 8 लाभान्वित विद्यार्थी संख्या</t>
  </si>
  <si>
    <t>कुक कन्वर्जन दर</t>
  </si>
  <si>
    <t>दुग्ध लाभार्थी</t>
  </si>
  <si>
    <t>चीनी दर</t>
  </si>
  <si>
    <t>राशि (1X2)</t>
  </si>
  <si>
    <t>राशि (4X5)</t>
  </si>
  <si>
    <t>राशि (7X8)</t>
  </si>
  <si>
    <t>राशि (10X11)</t>
  </si>
  <si>
    <t>भुगतान योग्य राशि (प्रति कुक)</t>
  </si>
  <si>
    <t>ईंधन व्यय</t>
  </si>
  <si>
    <t>दूध गर्म करने हेतु मानदेय</t>
  </si>
  <si>
    <t>योग कॉलम संख्या (3+6+9+12+15+16+17)</t>
  </si>
  <si>
    <t>कार्यालय द्वारा भुगतान योग्य पारित राशि</t>
  </si>
  <si>
    <t>2. खाद्यान्न (मात्रा किलोग्राम में)</t>
  </si>
  <si>
    <t xml:space="preserve">कक्षा </t>
  </si>
  <si>
    <t>कुल (2+3+4+5+6)</t>
  </si>
  <si>
    <t>माह के दौरान व्यय</t>
  </si>
  <si>
    <t>कुल (8+9)</t>
  </si>
  <si>
    <t>माह के अंत में शेष (7-9)</t>
  </si>
  <si>
    <t>माह के दौरान लाभान्वित विद्यार्थी (1 से 5)</t>
  </si>
  <si>
    <t>माह के दौरान लाभान्वित विद्यार्थी (6 से 8)</t>
  </si>
  <si>
    <t>कुक कम हेल्पर की संख्या</t>
  </si>
  <si>
    <t>3. माह के दौरान श्रेणीवार लाभान्वित छात्र/छात्राओं/कुक कम हेल्परों की संख्या</t>
  </si>
  <si>
    <t>नियुक्त कुक कम हेल्पर की श्रेणी</t>
  </si>
  <si>
    <t>कुक कम हेल्पर की कुल भुगतान राशी (13X14)</t>
  </si>
  <si>
    <t>क्रम संख्या</t>
  </si>
  <si>
    <t>कुक कम हेल्पर का नाम</t>
  </si>
  <si>
    <t>श्रेणी-SC/ST/OBC/OTHER</t>
  </si>
  <si>
    <t>आधार कार्ड संख्या</t>
  </si>
  <si>
    <t>6. वित्तीय सूचना</t>
  </si>
  <si>
    <t>5. अन्य सूचना</t>
  </si>
  <si>
    <t>माह के दौरान किये गए निरिक्षण (संख्या दर्ज करें)</t>
  </si>
  <si>
    <t>अधिकारीयों द्वारा निरिक्षण</t>
  </si>
  <si>
    <t>जनप्रतिनिधियों द्वारा निरिक्षण</t>
  </si>
  <si>
    <t>S.M.C. सदस्यों द्वारा निरिक्षण</t>
  </si>
  <si>
    <t>पेयजल सुविधा एवं वाटर टैंक की अंतिम सफाई की दिनांक</t>
  </si>
  <si>
    <t>चिकित्सा जाँच की दिनांक</t>
  </si>
  <si>
    <t>माह</t>
  </si>
  <si>
    <t>में स्वीकृत अग्रिम राशि</t>
  </si>
  <si>
    <t>पूर्व की बकाया अग्रिम राशि</t>
  </si>
  <si>
    <t>कुल अग्रिम राशि</t>
  </si>
  <si>
    <t>कुकिंग कन्वर्जन एवं कुक कम हेल्पर का बकाया भुगतान (माह अंकित करें)</t>
  </si>
  <si>
    <t>नोट:- (लाल स्याही में अंकित करें)</t>
  </si>
  <si>
    <t>हस्ताक्षर पोषाहार प्रभारी</t>
  </si>
  <si>
    <t>संस्था प्रधान हस्ताक्षर मय मुहर</t>
  </si>
  <si>
    <t>1. प्रमाणित किया जाता है कि विद्यालय में पोषाहार निर्धारित मेनू के अनुसार वितरित किया जा रहा है, प्रति सप्ताह फल तथा निर्धारित दिवस को दुग्ध का वितरण किया जाता है.</t>
  </si>
  <si>
    <t xml:space="preserve">को माह </t>
  </si>
  <si>
    <t>तक का भुगतान उनके बैंक खाते में कर दिया गया है.</t>
  </si>
  <si>
    <t>4. प्रमाणित किया जाता है कि विद्यालय में खाद्यान्न उपलब्ध नहीं होने पर डीलर से</t>
  </si>
  <si>
    <t>किग्रा गेहूं/चावल उधार लिए (+)/लौटाए गए (-)</t>
  </si>
  <si>
    <t>5. प्रमाणित किया जाता है कि पोषाहार पकाने एवं वितरण व्यवस्था में गाइडलाइन के तहत पूर्ण सावधानी बरती जा रही है.</t>
  </si>
  <si>
    <t>6. माह के दौरान जनसहयोग से खाद्यान्न (यदि जनसहयोग से प्राप्त किया तो मात्रा किग्रा में अंकित करें)      (</t>
  </si>
  <si>
    <t xml:space="preserve">) गेहूं </t>
  </si>
  <si>
    <t>व चावल (</t>
  </si>
  <si>
    <t>2. प्रमाणित किया जाता है कि मुख्यमंत्री बाल योजना के अन्तर्गत वितरित किये जा रहे दुग्ध की गुणवत्ता, रंग एवं स्वाद सही है तथा चखने एवं भलीभांति जाँच-परखने के उपरांत ही पाउडर निर्मित दुग्ध विद्यार्थियों को वितरित किया जा रहा है.</t>
  </si>
  <si>
    <t>7. माह के दौरान उत्सव भोज के रूप में लाभान्वित छात्र/छात्राओं की संख्या कक्षा 1 से 5</t>
  </si>
  <si>
    <t>है.</t>
  </si>
  <si>
    <t>मिड-डे-मील योजना का मासिक उपयोगिता प्रमाण-पत्र</t>
  </si>
  <si>
    <t>मुख्यमंत्री बाल गोपाल दुग्ध योजना 29 नव.-2022 से प्रभावी</t>
  </si>
  <si>
    <t>सभी कॉलम की पूर्ती आवश्यक रूप से करें.</t>
  </si>
  <si>
    <t>कक्षा 1 से 5 तथा 6 से 8 का पोषाहार मानदेय बिल माह :-</t>
  </si>
  <si>
    <t>दिनांक (वार)</t>
  </si>
  <si>
    <r>
      <rPr>
        <b/>
        <sz val="11"/>
        <color theme="1"/>
        <rFont val="Cambria"/>
        <family val="1"/>
        <scheme val="major"/>
      </rPr>
      <t xml:space="preserve">कक्षा 1 से 5 </t>
    </r>
    <r>
      <rPr>
        <sz val="11"/>
        <color theme="1"/>
        <rFont val="Cambria"/>
        <family val="1"/>
        <scheme val="major"/>
      </rPr>
      <t xml:space="preserve">पोषाहार लाभान्वित </t>
    </r>
  </si>
  <si>
    <r>
      <rPr>
        <b/>
        <sz val="11"/>
        <color theme="1"/>
        <rFont val="Cambria"/>
        <family val="1"/>
        <scheme val="major"/>
      </rPr>
      <t xml:space="preserve">कक्षा 6 से 8 </t>
    </r>
    <r>
      <rPr>
        <sz val="11"/>
        <color theme="1"/>
        <rFont val="Cambria"/>
        <family val="1"/>
        <scheme val="major"/>
      </rPr>
      <t xml:space="preserve">पोषाहार लाभान्वित </t>
    </r>
  </si>
  <si>
    <t>कक्षा 1 से 5 (ग्राम/विद्यार्थी)</t>
  </si>
  <si>
    <t>कक्षा 6 से 8 (ग्राम/विद्यार्थी)</t>
  </si>
  <si>
    <t>दिनों की संख्या</t>
  </si>
  <si>
    <t>गेहूं की खपत (Kg)</t>
  </si>
  <si>
    <t>चावल की खपत (Kg)</t>
  </si>
  <si>
    <t>दुग्ध पाउडर की खपत (Kg)</t>
  </si>
  <si>
    <t xml:space="preserve">4. कुक कम हेल्पर की सूचना </t>
  </si>
  <si>
    <t>नोट:- 1. राशन डीलर के अतिरिक्त किसी अन्य से लिया गया खाद्यान्न लौटने योग्य नहीं होगा.                                                                                                                                                                                                                       2. उक्त प्रपत्र के सभी कॉलम की पूर्ती कर प्रतिमाह 5 तारिख तक भिजवाना सुनिश्चित करें.                                                                                                                                                                                                                          3. कक्षा 1 से 5 के लिए चीनी की मात्रा 8.4 ग्राम/विद्यार्थी तथा कक्षा 6 से 8 के लिए 10.2 ग्राम/विद्यार्थी रहेगी.</t>
  </si>
  <si>
    <t>तेल</t>
  </si>
  <si>
    <t>दाल</t>
  </si>
  <si>
    <t>मिर्ची</t>
  </si>
  <si>
    <t>धनिया</t>
  </si>
  <si>
    <t>हल्दी</t>
  </si>
  <si>
    <t>राई</t>
  </si>
  <si>
    <t>जीरा</t>
  </si>
  <si>
    <t>लहसुन</t>
  </si>
  <si>
    <t>नमक</t>
  </si>
  <si>
    <t>सब्जी</t>
  </si>
  <si>
    <t>फल</t>
  </si>
  <si>
    <t>पिसाई</t>
  </si>
  <si>
    <t>प्राथमिक</t>
  </si>
  <si>
    <t>उच्च प्राथमिक</t>
  </si>
  <si>
    <t>मात्रा</t>
  </si>
  <si>
    <t>गैस/ईंधन</t>
  </si>
  <si>
    <t>वस्तु/ विवरण</t>
  </si>
  <si>
    <t>6  से 8</t>
  </si>
  <si>
    <t xml:space="preserve">वस्तु/ विवरण की कक्षावार प्रतिविद्यार्थी व्यय मात्रा तथा दर </t>
  </si>
  <si>
    <t>SHREE</t>
  </si>
  <si>
    <t>INVOICE</t>
  </si>
  <si>
    <t>Sr. No.</t>
  </si>
  <si>
    <t>Description</t>
  </si>
  <si>
    <t>Prop.</t>
  </si>
  <si>
    <t>बिल नंबर :-</t>
  </si>
  <si>
    <t>दिनांक :-</t>
  </si>
  <si>
    <t>फर्म/शॉप:-</t>
  </si>
  <si>
    <t>पता:-</t>
  </si>
  <si>
    <t>Amount</t>
  </si>
  <si>
    <t>For:-</t>
  </si>
  <si>
    <r>
      <t xml:space="preserve">4. अंत में अंतिम शीट </t>
    </r>
    <r>
      <rPr>
        <b/>
        <sz val="10"/>
        <color rgb="FFFF0000"/>
        <rFont val="Cambria"/>
        <family val="1"/>
        <scheme val="major"/>
      </rPr>
      <t>"Bill"</t>
    </r>
    <r>
      <rPr>
        <b/>
        <sz val="10"/>
        <color rgb="FF002060"/>
        <rFont val="Cambria"/>
        <family val="1"/>
        <scheme val="major"/>
      </rPr>
      <t xml:space="preserve"> में राशन सामग्री की विद्यार्थीवार मात्रा तथा दर लिखकर </t>
    </r>
    <r>
      <rPr>
        <b/>
        <sz val="10"/>
        <color rgb="FFFF0000"/>
        <rFont val="Cambria"/>
        <family val="1"/>
        <scheme val="major"/>
      </rPr>
      <t>"Ctrl+P"</t>
    </r>
    <r>
      <rPr>
        <b/>
        <sz val="10"/>
        <color rgb="FF002060"/>
        <rFont val="Cambria"/>
        <family val="1"/>
        <scheme val="major"/>
      </rPr>
      <t xml:space="preserve"> द्वारा बिल प्रिंट लेवें.</t>
    </r>
  </si>
  <si>
    <t>कक्षा 1 से 5 तक व्यय मात्रा (Kg)</t>
  </si>
  <si>
    <t>कक्षा 6 से 8 तक व्यय मात्रा (Kg)</t>
  </si>
  <si>
    <t>पिसाई/किग्रा</t>
  </si>
  <si>
    <r>
      <t>इस माह का विद्यालय नामांकन :-</t>
    </r>
    <r>
      <rPr>
        <b/>
        <sz val="10"/>
        <rFont val="Cambria"/>
        <family val="1"/>
      </rPr>
      <t>⇛</t>
    </r>
  </si>
  <si>
    <t>(कक्षा 1 से 5)</t>
  </si>
  <si>
    <t>(कक्षा 6 से 8)</t>
  </si>
  <si>
    <t>योग (1 से 8)</t>
  </si>
  <si>
    <t>सर्व योग</t>
  </si>
  <si>
    <t>GEN</t>
  </si>
  <si>
    <t>B</t>
  </si>
  <si>
    <t>G</t>
  </si>
  <si>
    <t>भोजन मीनू</t>
  </si>
  <si>
    <t>Class</t>
  </si>
  <si>
    <t>1</t>
  </si>
  <si>
    <t>2</t>
  </si>
  <si>
    <t>3</t>
  </si>
  <si>
    <t>4</t>
  </si>
  <si>
    <t>5</t>
  </si>
  <si>
    <t>6</t>
  </si>
  <si>
    <t>7</t>
  </si>
  <si>
    <t>8</t>
  </si>
  <si>
    <t>Total (1 to 5)</t>
  </si>
  <si>
    <t>Total (6 to 8)</t>
  </si>
  <si>
    <t>School Dise Code :-</t>
  </si>
  <si>
    <t>सप्लायर्स से माह में प्राप्त चीनी (किग्रा)</t>
  </si>
  <si>
    <t>किसी स्त्रोत से खरीदी दुग्ध मात्रा (किग्रा)</t>
  </si>
  <si>
    <t>स्टॉक</t>
  </si>
  <si>
    <t xml:space="preserve">माह के अंत में </t>
  </si>
  <si>
    <t>लाभान्वित विद्यार्थी तथा दुग्ध वितरण का समेकित विवरण</t>
  </si>
  <si>
    <t>स्टॉक का समेकित विवरण</t>
  </si>
  <si>
    <t>माह एवं वर्ष</t>
  </si>
  <si>
    <t xml:space="preserve">वाउचर सं </t>
  </si>
  <si>
    <t>वाउचर दिनांक</t>
  </si>
  <si>
    <t>दुग्ध वितरण एवं स्टॉक पंजिका (मुख्यमंत्री बाल गोपाल दुग्ध वितरण योजना)</t>
  </si>
  <si>
    <t xml:space="preserve">दुग्ध गुणवता मानक पंजिका </t>
  </si>
  <si>
    <t>माह की खपत</t>
  </si>
  <si>
    <t>सामग्री</t>
  </si>
  <si>
    <t>EmailAddress:-ummedtrdedu@gmail.com</t>
  </si>
  <si>
    <t xml:space="preserve">EmailAddress:-ummedtrdedu@gmail.com </t>
  </si>
  <si>
    <t>माह के दौरान दुग्ध योजना से लाभान्वित विद्यार्थी संख्या</t>
  </si>
  <si>
    <t>माह के दौरान दुग्ध योजना से लाभान्वित दिनों की  संख्या</t>
  </si>
  <si>
    <t>दर/Kg</t>
  </si>
  <si>
    <t>कुल कन्वर्जन राशि</t>
  </si>
  <si>
    <t xml:space="preserve">कन्वर्जन राशि  विवरण </t>
  </si>
  <si>
    <t xml:space="preserve">लाभान्वित विद्यार्थी विवरण </t>
  </si>
  <si>
    <t>Dal</t>
  </si>
  <si>
    <t>Sabji</t>
  </si>
  <si>
    <t>Fal</t>
  </si>
  <si>
    <t>Quantity (Kg)</t>
  </si>
  <si>
    <t>Rate/Kg</t>
  </si>
  <si>
    <t>जांचकर्ता (SMC सदस्य/अभिभावक/ अन्य आदि)</t>
  </si>
  <si>
    <t>योग (कुल खपत)</t>
  </si>
  <si>
    <t xml:space="preserve"> ग्राम</t>
  </si>
  <si>
    <t xml:space="preserve"> मी.ली.</t>
  </si>
  <si>
    <r>
      <t xml:space="preserve">1. </t>
    </r>
    <r>
      <rPr>
        <b/>
        <sz val="11"/>
        <color rgb="FFFF0000"/>
        <rFont val="Cambria"/>
        <family val="1"/>
        <scheme val="major"/>
      </rPr>
      <t xml:space="preserve">"School Info","Namankan", "Food-Data Entry" </t>
    </r>
    <r>
      <rPr>
        <b/>
        <sz val="11"/>
        <color rgb="FF002060"/>
        <rFont val="Cambria"/>
        <family val="1"/>
        <scheme val="major"/>
      </rPr>
      <t xml:space="preserve"> तथा  </t>
    </r>
    <r>
      <rPr>
        <b/>
        <sz val="11"/>
        <color rgb="FFFF0000"/>
        <rFont val="Cambria"/>
        <family val="1"/>
        <scheme val="major"/>
      </rPr>
      <t>"Milk-Data Entry"</t>
    </r>
    <r>
      <rPr>
        <b/>
        <sz val="11"/>
        <color rgb="FF002060"/>
        <rFont val="Cambria"/>
        <family val="1"/>
        <scheme val="major"/>
      </rPr>
      <t xml:space="preserve"> शीट्स की अनलॉक सेल्स में आवश्यक पूर्तियां करें. ध्यान रहे किसी ड्रॉप डाउन लिस्ट को आवश्यक हो तो ही छेड़ें अर्थात ड्रॉप डाउन लिस्ट में ऑटो आने वाले विकल्प के अलावा विकल्प को विशेष परिस्थिति में ही चयन करें. </t>
    </r>
  </si>
  <si>
    <t>Milk (1 से 5) ग्राम/विद्यार्थी</t>
  </si>
  <si>
    <t>Milk (6 से 8) ग्राम/विद्यार्थी</t>
  </si>
  <si>
    <t>कुल दुग्ध वितरण (KG)</t>
  </si>
  <si>
    <t>कुल चीनी वितरण  (KG)</t>
  </si>
  <si>
    <t>दुग्ध पावडर Stock  (KG)</t>
  </si>
  <si>
    <t>चीनी Stock  (KG)</t>
  </si>
  <si>
    <t>आज की खपत</t>
  </si>
  <si>
    <t>खिचडी  (दाल,चावल,सब्जी आदि युक्त)</t>
  </si>
  <si>
    <t>कुल खपत मात्रा (KG)</t>
  </si>
  <si>
    <t>myexcel</t>
  </si>
  <si>
    <t>Visit Youtube Video for help☟</t>
  </si>
  <si>
    <t>Please Like and Subscribe</t>
  </si>
  <si>
    <t>Devi</t>
  </si>
  <si>
    <t>https://youtu.be/rQDVHzJ-nVI</t>
  </si>
  <si>
    <r>
      <rPr>
        <b/>
        <sz val="16"/>
        <color rgb="FFC00000"/>
        <rFont val="Cambria"/>
        <family val="1"/>
        <scheme val="major"/>
      </rPr>
      <t xml:space="preserve">पन्नाधाय बाल गोपाल दुग्ध योजना </t>
    </r>
    <r>
      <rPr>
        <b/>
        <sz val="16"/>
        <color rgb="FF002060"/>
        <rFont val="Cambria"/>
        <family val="1"/>
        <scheme val="major"/>
      </rPr>
      <t xml:space="preserve"> के सम्बन्ध में कुछ महत्वपूर्ण बिंदु</t>
    </r>
  </si>
  <si>
    <t>(Teacher,GSSS Raimalwada) EmailAddress:-ummedtrdedu@gmail.com</t>
  </si>
  <si>
    <t xml:space="preserve">सरकारी विद्यालयों हेतु मध्यान्ह भोजन तथा पन्नाधाय बाल गोपाल दुग्ध योजना प्रोग्राम </t>
  </si>
  <si>
    <t>Govt. Sr. Sec. School Raimalwada, Bapini (Phalodi)</t>
  </si>
  <si>
    <t>Phalodi</t>
  </si>
  <si>
    <t>रोटी -दाल, सब्जी</t>
  </si>
  <si>
    <t xml:space="preserve"> दुग्ध</t>
  </si>
  <si>
    <t>नोट :- सप्ताह में किसी एक दिवस को फल वितरण किया जायेगा.</t>
  </si>
  <si>
    <t xml:space="preserve">Prepared By:-  
Mr. Ummed Tarad (Teacher,GSSS Raimalwada) </t>
  </si>
  <si>
    <t>कुकिंग कन्वर्जन राशि माह जुलाई, 2025 से एवं कुक कम हेल्पर Oct-2025 से बकाया है</t>
  </si>
  <si>
    <t>Prepared By:-  Mr. Ummeda Ram (Teacher,GSSS Raimalwada)</t>
  </si>
  <si>
    <t>Holiday</t>
  </si>
  <si>
    <t>Updated On : 28-11-2025</t>
  </si>
</sst>
</file>

<file path=xl/styles.xml><?xml version="1.0" encoding="utf-8"?>
<styleSheet xmlns="http://schemas.openxmlformats.org/spreadsheetml/2006/main">
  <numFmts count="24">
    <numFmt numFmtId="164" formatCode="[$-409]mmmm/yy;@"/>
    <numFmt numFmtId="165" formatCode="0.000"/>
    <numFmt numFmtId="166" formatCode="[$-409]d/mmm/yy;@"/>
    <numFmt numFmtId="167" formatCode="[$₹-449]\ #,##0;[Red][$₹-449]\ #,##0"/>
    <numFmt numFmtId="168" formatCode="[$₹-4009]\ #,##0.00"/>
    <numFmt numFmtId="169" formatCode="[$₹-4009]\ #,##0"/>
    <numFmt numFmtId="170" formatCode="[$-409]d/mmm/yyyy;@"/>
    <numFmt numFmtId="171" formatCode="&quot;₹&quot;\ #,##0.000"/>
    <numFmt numFmtId="172" formatCode="&quot;₹&quot;\ #,##0"/>
    <numFmt numFmtId="173" formatCode="[$-409]mmm/yy;@"/>
    <numFmt numFmtId="174" formatCode="0."/>
    <numFmt numFmtId="175" formatCode="[$-409]dd/mmm/yy;@"/>
    <numFmt numFmtId="176" formatCode="[$-14009]dd/mm/yyyy;@"/>
    <numFmt numFmtId="177" formatCode="0.0\ &quot;ग्राम&quot;"/>
    <numFmt numFmtId="178" formatCode="0\ &quot;ग्राम&quot;"/>
    <numFmt numFmtId="179" formatCode="0\ &quot;मि.ली.&quot;"/>
    <numFmt numFmtId="180" formatCode="&quot;0&quot;0"/>
    <numFmt numFmtId="181" formatCode="0000\ 0000\ 0000"/>
    <numFmt numFmtId="182" formatCode="0.0"/>
    <numFmt numFmtId="183" formatCode="0.000\ &quot;/ग्राम&quot;"/>
    <numFmt numFmtId="184" formatCode="0.0000"/>
    <numFmt numFmtId="185" formatCode="0.0000\ &quot;Kg.)&quot;"/>
    <numFmt numFmtId="186" formatCode="0.0000\ &quot;Kg.&quot;"/>
    <numFmt numFmtId="187" formatCode="0.0\ \ &quot;ग्राम&quot;"/>
  </numFmts>
  <fonts count="163">
    <font>
      <sz val="11"/>
      <color theme="1"/>
      <name val="Calibri"/>
      <family val="2"/>
      <scheme val="minor"/>
    </font>
    <font>
      <b/>
      <sz val="11"/>
      <name val="Cambria"/>
      <family val="1"/>
      <scheme val="major"/>
    </font>
    <font>
      <b/>
      <sz val="12"/>
      <name val="Cambria"/>
      <family val="1"/>
      <scheme val="major"/>
    </font>
    <font>
      <sz val="11"/>
      <color theme="1"/>
      <name val="Cambria"/>
      <family val="1"/>
      <scheme val="major"/>
    </font>
    <font>
      <b/>
      <sz val="10"/>
      <name val="Cambria"/>
      <family val="1"/>
      <scheme val="major"/>
    </font>
    <font>
      <sz val="10"/>
      <color theme="1"/>
      <name val="Cambria"/>
      <family val="1"/>
      <scheme val="major"/>
    </font>
    <font>
      <b/>
      <sz val="9"/>
      <name val="Cambria"/>
      <family val="1"/>
      <scheme val="major"/>
    </font>
    <font>
      <b/>
      <sz val="10"/>
      <color theme="1"/>
      <name val="Cambria"/>
      <family val="1"/>
      <scheme val="major"/>
    </font>
    <font>
      <b/>
      <sz val="8"/>
      <name val="Cambria"/>
      <family val="1"/>
      <scheme val="major"/>
    </font>
    <font>
      <sz val="12"/>
      <name val="Cambria"/>
      <family val="1"/>
      <scheme val="major"/>
    </font>
    <font>
      <b/>
      <sz val="14"/>
      <name val="Cambria"/>
      <family val="1"/>
      <scheme val="major"/>
    </font>
    <font>
      <sz val="10"/>
      <name val="Cambria"/>
      <family val="1"/>
      <scheme val="major"/>
    </font>
    <font>
      <sz val="11"/>
      <name val="Cambria"/>
      <family val="1"/>
      <scheme val="major"/>
    </font>
    <font>
      <b/>
      <sz val="16"/>
      <name val="Cambria"/>
      <family val="1"/>
      <scheme val="major"/>
    </font>
    <font>
      <sz val="9"/>
      <name val="Cambria"/>
      <family val="1"/>
      <scheme val="major"/>
    </font>
    <font>
      <sz val="6"/>
      <color theme="1"/>
      <name val="Cambria"/>
      <family val="1"/>
      <scheme val="major"/>
    </font>
    <font>
      <sz val="11"/>
      <color theme="1"/>
      <name val="DevLys 010"/>
    </font>
    <font>
      <b/>
      <sz val="7"/>
      <name val="Cambria"/>
      <family val="1"/>
      <scheme val="major"/>
    </font>
    <font>
      <b/>
      <sz val="12"/>
      <color theme="1"/>
      <name val="Calibri"/>
      <family val="2"/>
      <scheme val="minor"/>
    </font>
    <font>
      <b/>
      <sz val="11"/>
      <color theme="1"/>
      <name val="Calibri"/>
      <family val="2"/>
      <scheme val="minor"/>
    </font>
    <font>
      <sz val="11"/>
      <color theme="0"/>
      <name val="Calibri"/>
      <family val="2"/>
      <scheme val="minor"/>
    </font>
    <font>
      <b/>
      <sz val="12"/>
      <color theme="1"/>
      <name val="Cambria"/>
      <family val="1"/>
      <scheme val="major"/>
    </font>
    <font>
      <b/>
      <sz val="18"/>
      <color theme="1"/>
      <name val="Cambria"/>
      <family val="1"/>
      <scheme val="major"/>
    </font>
    <font>
      <b/>
      <sz val="20"/>
      <color theme="1"/>
      <name val="Cambria"/>
      <family val="1"/>
      <scheme val="major"/>
    </font>
    <font>
      <b/>
      <sz val="16"/>
      <color theme="0"/>
      <name val="DevLys 010"/>
    </font>
    <font>
      <b/>
      <sz val="14"/>
      <color theme="0"/>
      <name val="Cambria"/>
      <family val="1"/>
      <scheme val="major"/>
    </font>
    <font>
      <b/>
      <sz val="28"/>
      <color theme="0"/>
      <name val="DevLys 010"/>
    </font>
    <font>
      <b/>
      <sz val="14"/>
      <color theme="1"/>
      <name val="Cambria"/>
      <family val="1"/>
      <scheme val="major"/>
    </font>
    <font>
      <b/>
      <sz val="36"/>
      <color theme="0"/>
      <name val="DevLys 010"/>
    </font>
    <font>
      <b/>
      <sz val="12"/>
      <color theme="0"/>
      <name val="DevLys 010"/>
    </font>
    <font>
      <b/>
      <sz val="11"/>
      <color rgb="FFFFFF00"/>
      <name val="DevLys 010"/>
    </font>
    <font>
      <b/>
      <sz val="11"/>
      <color rgb="FFFFFF00"/>
      <name val="Calibri"/>
      <family val="2"/>
      <scheme val="minor"/>
    </font>
    <font>
      <b/>
      <sz val="14"/>
      <color rgb="FFFFFF00"/>
      <name val="DevLys 010"/>
    </font>
    <font>
      <b/>
      <sz val="14"/>
      <color rgb="FFFFFF00"/>
      <name val="Calibri"/>
      <family val="2"/>
      <scheme val="minor"/>
    </font>
    <font>
      <sz val="14"/>
      <color theme="1"/>
      <name val="Calibri"/>
      <family val="2"/>
      <scheme val="minor"/>
    </font>
    <font>
      <b/>
      <sz val="19"/>
      <color theme="0"/>
      <name val="Cambria"/>
      <family val="1"/>
      <scheme val="major"/>
    </font>
    <font>
      <i/>
      <sz val="22"/>
      <color rgb="FFFFFF00"/>
      <name val="DeVinne Txt BT"/>
      <family val="1"/>
    </font>
    <font>
      <b/>
      <sz val="11"/>
      <color rgb="FFFFFF00"/>
      <name val="Cambria"/>
      <family val="1"/>
      <scheme val="major"/>
    </font>
    <font>
      <b/>
      <sz val="13"/>
      <color theme="1"/>
      <name val="Calibri"/>
      <family val="2"/>
      <scheme val="minor"/>
    </font>
    <font>
      <b/>
      <sz val="24"/>
      <color rgb="FFFFFF00"/>
      <name val="DevLys 010"/>
    </font>
    <font>
      <b/>
      <sz val="10"/>
      <color theme="1"/>
      <name val="Calibri"/>
      <family val="2"/>
      <scheme val="minor"/>
    </font>
    <font>
      <sz val="16"/>
      <color theme="0"/>
      <name val="Cambria"/>
      <family val="1"/>
      <scheme val="major"/>
    </font>
    <font>
      <sz val="9"/>
      <color theme="0"/>
      <name val="Calibri"/>
      <family val="2"/>
      <scheme val="minor"/>
    </font>
    <font>
      <sz val="18"/>
      <color theme="0"/>
      <name val="Calibri"/>
      <family val="2"/>
      <scheme val="minor"/>
    </font>
    <font>
      <sz val="8"/>
      <name val="Cambria"/>
      <family val="1"/>
      <scheme val="major"/>
    </font>
    <font>
      <sz val="9"/>
      <color theme="1"/>
      <name val="Cambria"/>
      <family val="1"/>
      <scheme val="major"/>
    </font>
    <font>
      <u/>
      <sz val="11"/>
      <color theme="10"/>
      <name val="Calibri"/>
      <family val="2"/>
    </font>
    <font>
      <b/>
      <sz val="16"/>
      <color theme="0"/>
      <name val="Kruti Dev 010"/>
    </font>
    <font>
      <b/>
      <sz val="11"/>
      <color theme="1"/>
      <name val="Cambria"/>
      <family val="1"/>
      <scheme val="major"/>
    </font>
    <font>
      <b/>
      <sz val="20"/>
      <color theme="0"/>
      <name val="Calibri"/>
      <family val="2"/>
      <scheme val="minor"/>
    </font>
    <font>
      <b/>
      <sz val="10"/>
      <color rgb="FF00B0F0"/>
      <name val="Calibri"/>
      <family val="2"/>
      <scheme val="minor"/>
    </font>
    <font>
      <b/>
      <sz val="11"/>
      <color rgb="FF00B0F0"/>
      <name val="Calibri"/>
      <family val="2"/>
      <scheme val="minor"/>
    </font>
    <font>
      <b/>
      <sz val="11"/>
      <color rgb="FFFF0000"/>
      <name val="DevLys 010"/>
    </font>
    <font>
      <sz val="12"/>
      <color theme="1"/>
      <name val="Cambria"/>
      <family val="1"/>
      <scheme val="major"/>
    </font>
    <font>
      <b/>
      <sz val="18"/>
      <color rgb="FFFFFF00"/>
      <name val="DevLys 010"/>
    </font>
    <font>
      <b/>
      <sz val="10"/>
      <color rgb="FF002060"/>
      <name val="Calibri"/>
      <family val="2"/>
      <scheme val="minor"/>
    </font>
    <font>
      <b/>
      <sz val="12"/>
      <color rgb="FF002060"/>
      <name val="Cambria"/>
      <family val="1"/>
      <scheme val="major"/>
    </font>
    <font>
      <b/>
      <sz val="14"/>
      <color rgb="FFC00000"/>
      <name val="Cambria"/>
      <family val="1"/>
      <scheme val="major"/>
    </font>
    <font>
      <b/>
      <sz val="16"/>
      <color rgb="FFFFFF00"/>
      <name val="Cambria"/>
      <family val="1"/>
      <scheme val="major"/>
    </font>
    <font>
      <b/>
      <sz val="16"/>
      <color rgb="FF002060"/>
      <name val="Cambria"/>
      <family val="1"/>
      <scheme val="major"/>
    </font>
    <font>
      <b/>
      <sz val="16"/>
      <color theme="1"/>
      <name val="Cambria"/>
      <family val="1"/>
      <scheme val="major"/>
    </font>
    <font>
      <sz val="9"/>
      <color indexed="81"/>
      <name val="Tahoma"/>
      <family val="2"/>
    </font>
    <font>
      <b/>
      <sz val="9"/>
      <color indexed="81"/>
      <name val="Tahoma"/>
      <family val="2"/>
    </font>
    <font>
      <b/>
      <sz val="9"/>
      <color indexed="81"/>
      <name val="DevLys 010"/>
    </font>
    <font>
      <b/>
      <sz val="16"/>
      <color indexed="81"/>
      <name val="DevLys 010"/>
    </font>
    <font>
      <sz val="10"/>
      <color theme="1"/>
      <name val="Calibri"/>
      <family val="2"/>
      <scheme val="minor"/>
    </font>
    <font>
      <b/>
      <sz val="12"/>
      <color rgb="FFC00000"/>
      <name val="Cambria"/>
      <family val="1"/>
      <scheme val="major"/>
    </font>
    <font>
      <sz val="14"/>
      <color rgb="FF002060"/>
      <name val="Cambria"/>
      <family val="1"/>
      <scheme val="major"/>
    </font>
    <font>
      <b/>
      <sz val="10"/>
      <color theme="0"/>
      <name val="Cambria"/>
      <family val="1"/>
      <scheme val="major"/>
    </font>
    <font>
      <sz val="16"/>
      <color rgb="FF002060"/>
      <name val="Aldine721 BT"/>
      <family val="1"/>
    </font>
    <font>
      <b/>
      <sz val="16"/>
      <color rgb="FFC00000"/>
      <name val="Aldine721 BT"/>
      <family val="1"/>
    </font>
    <font>
      <b/>
      <sz val="11"/>
      <color theme="1"/>
      <name val="DevLys 010"/>
    </font>
    <font>
      <b/>
      <sz val="14"/>
      <color rgb="FFFFFF00"/>
      <name val="Cambria"/>
      <family val="1"/>
      <scheme val="major"/>
    </font>
    <font>
      <b/>
      <sz val="12"/>
      <color rgb="FFFFFF00"/>
      <name val="Cambria"/>
      <family val="1"/>
      <scheme val="major"/>
    </font>
    <font>
      <sz val="12"/>
      <color theme="1"/>
      <name val="Calibri"/>
      <family val="2"/>
      <scheme val="minor"/>
    </font>
    <font>
      <sz val="7"/>
      <color theme="1"/>
      <name val="Cambria"/>
      <family val="1"/>
      <scheme val="major"/>
    </font>
    <font>
      <b/>
      <sz val="11"/>
      <color indexed="81"/>
      <name val="Tahoma"/>
      <family val="2"/>
    </font>
    <font>
      <sz val="11"/>
      <color indexed="81"/>
      <name val="Tahoma"/>
      <family val="2"/>
    </font>
    <font>
      <b/>
      <sz val="12"/>
      <color rgb="FFFF0000"/>
      <name val="Cambria"/>
      <family val="1"/>
      <scheme val="major"/>
    </font>
    <font>
      <b/>
      <i/>
      <sz val="24"/>
      <color rgb="FFFFFF00"/>
      <name val="DeVinne Txt BT"/>
      <family val="1"/>
    </font>
    <font>
      <b/>
      <sz val="18"/>
      <color theme="0"/>
      <name val="DevLys 010"/>
    </font>
    <font>
      <b/>
      <sz val="18"/>
      <color rgb="FFC00000"/>
      <name val="Calibri"/>
      <family val="2"/>
      <scheme val="minor"/>
    </font>
    <font>
      <b/>
      <sz val="12"/>
      <color rgb="FFFFFF00"/>
      <name val="Calibri"/>
      <family val="2"/>
      <scheme val="minor"/>
    </font>
    <font>
      <b/>
      <sz val="20"/>
      <color rgb="FFFFFF00"/>
      <name val="DevLys 010"/>
    </font>
    <font>
      <b/>
      <sz val="8"/>
      <color rgb="FF002060"/>
      <name val="Calibri"/>
      <family val="2"/>
      <scheme val="minor"/>
    </font>
    <font>
      <b/>
      <sz val="20"/>
      <color rgb="FFFFFF00"/>
      <name val="Calibri"/>
      <family val="2"/>
      <scheme val="minor"/>
    </font>
    <font>
      <b/>
      <sz val="16"/>
      <color rgb="FF002060"/>
      <name val="DevLys 010"/>
    </font>
    <font>
      <b/>
      <sz val="7"/>
      <color theme="1"/>
      <name val="Cambria"/>
      <family val="1"/>
      <scheme val="major"/>
    </font>
    <font>
      <b/>
      <sz val="14"/>
      <color rgb="FF002060"/>
      <name val="Cambria"/>
      <family val="1"/>
      <scheme val="major"/>
    </font>
    <font>
      <b/>
      <sz val="20"/>
      <color theme="0"/>
      <name val="DevLys 010"/>
    </font>
    <font>
      <b/>
      <sz val="18"/>
      <color theme="0"/>
      <name val="Cambria"/>
      <family val="1"/>
      <scheme val="major"/>
    </font>
    <font>
      <sz val="11"/>
      <color rgb="FF002060"/>
      <name val="Cambria"/>
      <family val="1"/>
      <scheme val="major"/>
    </font>
    <font>
      <b/>
      <sz val="12"/>
      <color rgb="FFFFFF00"/>
      <name val="DevLys 010"/>
    </font>
    <font>
      <b/>
      <sz val="14"/>
      <color rgb="FFC00000"/>
      <name val="Calibri"/>
      <family val="2"/>
      <scheme val="minor"/>
    </font>
    <font>
      <b/>
      <sz val="22"/>
      <color rgb="FF002060"/>
      <name val="Cambria"/>
      <family val="1"/>
      <scheme val="major"/>
    </font>
    <font>
      <b/>
      <sz val="11"/>
      <color rgb="FF002060"/>
      <name val="Cambria"/>
      <family val="1"/>
      <scheme val="major"/>
    </font>
    <font>
      <b/>
      <sz val="10"/>
      <color rgb="FF002060"/>
      <name val="Cambria"/>
      <family val="1"/>
      <scheme val="major"/>
    </font>
    <font>
      <b/>
      <sz val="9"/>
      <color rgb="FF002060"/>
      <name val="Cambria"/>
      <family val="1"/>
      <scheme val="major"/>
    </font>
    <font>
      <sz val="10"/>
      <color rgb="FF002060"/>
      <name val="Cambria"/>
      <family val="1"/>
      <scheme val="major"/>
    </font>
    <font>
      <b/>
      <vertAlign val="superscript"/>
      <sz val="12"/>
      <color rgb="FFC00000"/>
      <name val="Cambria"/>
      <family val="1"/>
      <scheme val="major"/>
    </font>
    <font>
      <b/>
      <vertAlign val="superscript"/>
      <sz val="12"/>
      <color rgb="FF002060"/>
      <name val="Cambria"/>
      <family val="1"/>
      <scheme val="major"/>
    </font>
    <font>
      <sz val="8"/>
      <color rgb="FF002060"/>
      <name val="Cambria"/>
      <family val="1"/>
      <scheme val="major"/>
    </font>
    <font>
      <sz val="8"/>
      <color rgb="FFFF0000"/>
      <name val="Cambria"/>
      <family val="1"/>
      <scheme val="major"/>
    </font>
    <font>
      <b/>
      <sz val="16"/>
      <color rgb="FFC00000"/>
      <name val="Cambria"/>
      <family val="1"/>
      <scheme val="major"/>
    </font>
    <font>
      <b/>
      <vertAlign val="superscript"/>
      <sz val="14"/>
      <color rgb="FF002060"/>
      <name val="Cambria"/>
      <family val="1"/>
      <scheme val="major"/>
    </font>
    <font>
      <b/>
      <vertAlign val="superscript"/>
      <sz val="16"/>
      <color rgb="FF002060"/>
      <name val="Cambria"/>
      <family val="1"/>
      <scheme val="major"/>
    </font>
    <font>
      <sz val="12"/>
      <color rgb="FF002060"/>
      <name val="Cambria"/>
      <family val="1"/>
      <scheme val="major"/>
    </font>
    <font>
      <b/>
      <vertAlign val="superscript"/>
      <sz val="14"/>
      <color rgb="FFC00000"/>
      <name val="Cambria"/>
      <family val="1"/>
      <scheme val="major"/>
    </font>
    <font>
      <b/>
      <vertAlign val="superscript"/>
      <sz val="20"/>
      <color rgb="FF002060"/>
      <name val="Cambria"/>
      <family val="1"/>
      <scheme val="major"/>
    </font>
    <font>
      <sz val="18"/>
      <color rgb="FF002060"/>
      <name val="Cambria"/>
      <family val="1"/>
      <scheme val="major"/>
    </font>
    <font>
      <b/>
      <sz val="22"/>
      <color rgb="FFC00000"/>
      <name val="Cambria"/>
      <family val="1"/>
      <scheme val="major"/>
    </font>
    <font>
      <b/>
      <vertAlign val="superscript"/>
      <sz val="18"/>
      <color rgb="FF002060"/>
      <name val="Cambria"/>
      <family val="1"/>
      <scheme val="major"/>
    </font>
    <font>
      <b/>
      <sz val="26"/>
      <color theme="0"/>
      <name val="Cambria"/>
      <family val="1"/>
      <scheme val="major"/>
    </font>
    <font>
      <b/>
      <sz val="18"/>
      <color rgb="FF002060"/>
      <name val="Cambria"/>
      <family val="1"/>
      <scheme val="major"/>
    </font>
    <font>
      <b/>
      <sz val="11"/>
      <color rgb="FFFF0000"/>
      <name val="Cambria"/>
      <family val="1"/>
      <scheme val="major"/>
    </font>
    <font>
      <b/>
      <sz val="12"/>
      <color rgb="FF002060"/>
      <name val="Calibri"/>
      <family val="2"/>
      <scheme val="minor"/>
    </font>
    <font>
      <b/>
      <sz val="11"/>
      <color theme="0"/>
      <name val="Cambria"/>
      <family val="1"/>
      <scheme val="major"/>
    </font>
    <font>
      <b/>
      <sz val="28"/>
      <color rgb="FF002060"/>
      <name val="Cambria"/>
      <family val="1"/>
      <scheme val="major"/>
    </font>
    <font>
      <b/>
      <sz val="28"/>
      <color theme="0"/>
      <name val="Cambria"/>
      <family val="1"/>
      <scheme val="major"/>
    </font>
    <font>
      <b/>
      <sz val="16"/>
      <color theme="0"/>
      <name val="Cambria"/>
      <family val="1"/>
      <scheme val="major"/>
    </font>
    <font>
      <b/>
      <sz val="12"/>
      <color theme="0"/>
      <name val="Cambria"/>
      <family val="1"/>
      <scheme val="major"/>
    </font>
    <font>
      <b/>
      <sz val="36"/>
      <color theme="0"/>
      <name val="Cambria"/>
      <family val="1"/>
      <scheme val="major"/>
    </font>
    <font>
      <b/>
      <sz val="22"/>
      <color rgb="FFFFFF00"/>
      <name val="Cambria"/>
      <family val="1"/>
      <scheme val="major"/>
    </font>
    <font>
      <b/>
      <sz val="18"/>
      <color rgb="FFFFFF00"/>
      <name val="Cambria"/>
      <family val="1"/>
      <scheme val="major"/>
    </font>
    <font>
      <b/>
      <sz val="18"/>
      <color rgb="FFFF0000"/>
      <name val="Cambria"/>
      <family val="1"/>
      <scheme val="major"/>
    </font>
    <font>
      <b/>
      <sz val="10"/>
      <color rgb="FFFF0000"/>
      <name val="Cambria"/>
      <family val="1"/>
      <scheme val="major"/>
    </font>
    <font>
      <sz val="8"/>
      <color theme="1"/>
      <name val="Cambria"/>
      <family val="1"/>
      <scheme val="major"/>
    </font>
    <font>
      <b/>
      <i/>
      <sz val="14"/>
      <color theme="0"/>
      <name val="Cambria"/>
      <family val="1"/>
      <scheme val="major"/>
    </font>
    <font>
      <b/>
      <sz val="48"/>
      <color theme="0"/>
      <name val="Cambria"/>
      <family val="1"/>
      <scheme val="major"/>
    </font>
    <font>
      <b/>
      <sz val="22"/>
      <color theme="1"/>
      <name val="Cambria"/>
      <family val="1"/>
      <scheme val="major"/>
    </font>
    <font>
      <b/>
      <sz val="11"/>
      <color indexed="8"/>
      <name val="Cambria"/>
      <family val="1"/>
      <scheme val="major"/>
    </font>
    <font>
      <sz val="11"/>
      <color rgb="FF00B0F0"/>
      <name val="Cambria"/>
      <family val="1"/>
      <scheme val="major"/>
    </font>
    <font>
      <b/>
      <sz val="10"/>
      <color rgb="FFC00000"/>
      <name val="Cambria"/>
      <family val="1"/>
      <scheme val="major"/>
    </font>
    <font>
      <sz val="10"/>
      <color theme="0"/>
      <name val="Cambria"/>
      <family val="1"/>
      <scheme val="major"/>
    </font>
    <font>
      <sz val="12"/>
      <color theme="0"/>
      <name val="Cambria"/>
      <family val="1"/>
      <scheme val="major"/>
    </font>
    <font>
      <b/>
      <sz val="9"/>
      <color theme="0"/>
      <name val="Cambria"/>
      <family val="1"/>
      <scheme val="major"/>
    </font>
    <font>
      <b/>
      <sz val="12"/>
      <color theme="0"/>
      <name val="Calibri"/>
      <family val="2"/>
      <scheme val="minor"/>
    </font>
    <font>
      <sz val="11"/>
      <color theme="1"/>
      <name val="AlgerianBasD"/>
      <family val="5"/>
    </font>
    <font>
      <sz val="14"/>
      <color theme="1"/>
      <name val="Cambria"/>
      <family val="1"/>
      <scheme val="major"/>
    </font>
    <font>
      <b/>
      <sz val="8"/>
      <color rgb="FF002060"/>
      <name val="Cambria"/>
      <family val="1"/>
      <scheme val="major"/>
    </font>
    <font>
      <b/>
      <sz val="11"/>
      <color rgb="FFC00000"/>
      <name val="Cambria"/>
      <family val="1"/>
      <scheme val="major"/>
    </font>
    <font>
      <b/>
      <sz val="10"/>
      <name val="Cambria"/>
      <family val="1"/>
    </font>
    <font>
      <sz val="36"/>
      <color theme="0"/>
      <name val="Calibri"/>
      <family val="2"/>
      <scheme val="minor"/>
    </font>
    <font>
      <b/>
      <sz val="9"/>
      <color rgb="FFC00000"/>
      <name val="Cambria"/>
      <family val="1"/>
      <scheme val="major"/>
    </font>
    <font>
      <b/>
      <sz val="8"/>
      <color rgb="FFFF0000"/>
      <name val="Cambria"/>
      <family val="1"/>
      <scheme val="major"/>
    </font>
    <font>
      <b/>
      <sz val="18"/>
      <color rgb="FFC00000"/>
      <name val="Cambria"/>
      <family val="1"/>
      <scheme val="major"/>
    </font>
    <font>
      <b/>
      <sz val="20"/>
      <color rgb="FFC00000"/>
      <name val="Cambria"/>
      <family val="1"/>
      <scheme val="major"/>
    </font>
    <font>
      <b/>
      <sz val="24"/>
      <color rgb="FFC00000"/>
      <name val="Cambria"/>
      <family val="1"/>
      <scheme val="major"/>
    </font>
    <font>
      <b/>
      <sz val="28"/>
      <color rgb="FFC00000"/>
      <name val="Cambria"/>
      <family val="1"/>
      <scheme val="major"/>
    </font>
    <font>
      <b/>
      <vertAlign val="superscript"/>
      <sz val="26"/>
      <color rgb="FFC00000"/>
      <name val="Cambria"/>
      <family val="1"/>
      <scheme val="major"/>
    </font>
    <font>
      <b/>
      <sz val="18"/>
      <color theme="0"/>
      <name val="Calibri"/>
      <family val="2"/>
      <scheme val="minor"/>
    </font>
    <font>
      <b/>
      <vertAlign val="superscript"/>
      <sz val="11"/>
      <color rgb="FF002060"/>
      <name val="Cambria"/>
      <family val="1"/>
      <scheme val="major"/>
    </font>
    <font>
      <b/>
      <vertAlign val="superscript"/>
      <sz val="10"/>
      <color rgb="FF002060"/>
      <name val="Cambria"/>
      <family val="1"/>
      <scheme val="major"/>
    </font>
    <font>
      <b/>
      <vertAlign val="superscript"/>
      <sz val="11"/>
      <color rgb="FFC00000"/>
      <name val="Cambria"/>
      <family val="1"/>
      <scheme val="major"/>
    </font>
    <font>
      <sz val="9"/>
      <color rgb="FF002060"/>
      <name val="Cambria"/>
      <family val="1"/>
      <scheme val="major"/>
    </font>
    <font>
      <sz val="9"/>
      <color rgb="FFC00000"/>
      <name val="Cambria"/>
      <family val="1"/>
      <scheme val="major"/>
    </font>
    <font>
      <b/>
      <sz val="24"/>
      <color rgb="FF002060"/>
      <name val="Cambria"/>
      <family val="1"/>
      <scheme val="major"/>
    </font>
    <font>
      <b/>
      <vertAlign val="superscript"/>
      <sz val="20"/>
      <color rgb="FFC00000"/>
      <name val="Cambria"/>
      <family val="1"/>
      <scheme val="major"/>
    </font>
    <font>
      <b/>
      <sz val="20"/>
      <color rgb="FF002060"/>
      <name val="Cambria"/>
      <family val="1"/>
      <scheme val="major"/>
    </font>
    <font>
      <b/>
      <sz val="24"/>
      <color rgb="FF002060"/>
      <name val="ChelthmITC Bk BT"/>
      <family val="1"/>
    </font>
    <font>
      <b/>
      <sz val="14"/>
      <color rgb="FFFF0000"/>
      <name val="Cambria"/>
      <family val="1"/>
      <scheme val="major"/>
    </font>
    <font>
      <u/>
      <sz val="16"/>
      <color theme="10"/>
      <name val="Calibri"/>
      <family val="2"/>
    </font>
    <font>
      <sz val="11"/>
      <color theme="0"/>
      <name val="Cambria"/>
      <family val="1"/>
      <scheme val="major"/>
    </font>
  </fonts>
  <fills count="33">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1" tint="0.14999847407452621"/>
        <bgColor indexed="64"/>
      </patternFill>
    </fill>
    <fill>
      <patternFill patternType="solid">
        <fgColor theme="0"/>
        <bgColor indexed="64"/>
      </patternFill>
    </fill>
    <fill>
      <patternFill patternType="solid">
        <fgColor rgb="FF00B0F0"/>
        <bgColor indexed="64"/>
      </patternFill>
    </fill>
    <fill>
      <gradientFill degree="90">
        <stop position="0">
          <color rgb="FF002060"/>
        </stop>
        <stop position="1">
          <color theme="1"/>
        </stop>
      </gradientFill>
    </fill>
    <fill>
      <gradientFill degree="90">
        <stop position="0">
          <color theme="9" tint="0.80001220740379042"/>
        </stop>
        <stop position="1">
          <color theme="8" tint="0.80001220740379042"/>
        </stop>
      </gradientFill>
    </fill>
    <fill>
      <gradientFill degree="45">
        <stop position="0">
          <color theme="1"/>
        </stop>
        <stop position="1">
          <color rgb="FF002060"/>
        </stop>
      </gradientFill>
    </fill>
    <fill>
      <gradientFill degree="90">
        <stop position="0">
          <color rgb="FFFF0000"/>
        </stop>
        <stop position="1">
          <color rgb="FFFFC000"/>
        </stop>
      </gradientFill>
    </fill>
    <fill>
      <gradientFill degree="90">
        <stop position="0">
          <color theme="5"/>
        </stop>
        <stop position="1">
          <color rgb="FF00B050"/>
        </stop>
      </gradientFill>
    </fill>
    <fill>
      <gradientFill degree="90">
        <stop position="0">
          <color theme="9" tint="0.40000610370189521"/>
        </stop>
        <stop position="1">
          <color theme="9" tint="-0.25098422193060094"/>
        </stop>
      </gradientFill>
    </fill>
    <fill>
      <gradientFill degree="90">
        <stop position="0">
          <color theme="0" tint="-5.0965910824915313E-2"/>
        </stop>
        <stop position="1">
          <color theme="0" tint="-0.1490218817712943"/>
        </stop>
      </gradientFill>
    </fill>
    <fill>
      <gradientFill degree="90">
        <stop position="0">
          <color rgb="FF92D050"/>
        </stop>
        <stop position="1">
          <color rgb="FF00B050"/>
        </stop>
      </gradientFill>
    </fill>
    <fill>
      <patternFill patternType="solid">
        <fgColor rgb="FF002060"/>
        <bgColor indexed="64"/>
      </patternFill>
    </fill>
    <fill>
      <patternFill patternType="solid">
        <fgColor rgb="FF00B0F0"/>
        <bgColor auto="1"/>
      </patternFill>
    </fill>
    <fill>
      <patternFill patternType="solid">
        <fgColor theme="1"/>
        <bgColor auto="1"/>
      </patternFill>
    </fill>
    <fill>
      <patternFill patternType="solid">
        <fgColor rgb="FF0070C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gradientFill degree="90">
        <stop position="0">
          <color rgb="FF002060"/>
        </stop>
        <stop position="1">
          <color theme="3" tint="-0.49803155613879818"/>
        </stop>
      </gradientFill>
    </fill>
    <fill>
      <patternFill patternType="solid">
        <fgColor theme="0" tint="-4.9989318521683403E-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79998168889431442"/>
        <bgColor indexed="64"/>
      </patternFill>
    </fill>
    <fill>
      <gradientFill degree="90">
        <stop position="0">
          <color rgb="FFFFFF00"/>
        </stop>
        <stop position="1">
          <color theme="9" tint="0.59999389629810485"/>
        </stop>
      </gradientFill>
    </fill>
    <fill>
      <gradientFill degree="90">
        <stop position="0">
          <color rgb="FFFFFF00"/>
        </stop>
        <stop position="1">
          <color theme="9" tint="0.80001220740379042"/>
        </stop>
      </gradientFill>
    </fill>
    <fill>
      <patternFill patternType="solid">
        <fgColor rgb="FF002060"/>
        <bgColor auto="1"/>
      </patternFill>
    </fill>
    <fill>
      <patternFill patternType="solid">
        <fgColor theme="9" tint="0.59999389629810485"/>
        <bgColor indexed="64"/>
      </patternFill>
    </fill>
  </fills>
  <borders count="1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rgb="FFFF0000"/>
      </left>
      <right style="thin">
        <color rgb="FFFF0000"/>
      </right>
      <top style="thin">
        <color rgb="FFFF0000"/>
      </top>
      <bottom style="thin">
        <color rgb="FFFF0000"/>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right style="thin">
        <color rgb="FFFF0000"/>
      </right>
      <top style="medium">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rgb="FFFF0000"/>
      </top>
      <bottom style="medium">
        <color rgb="FFFF0000"/>
      </bottom>
      <diagonal/>
    </border>
    <border>
      <left style="thin">
        <color rgb="FFFF0000"/>
      </left>
      <right/>
      <top style="medium">
        <color rgb="FFFF0000"/>
      </top>
      <bottom style="thin">
        <color rgb="FFFF0000"/>
      </bottom>
      <diagonal/>
    </border>
    <border>
      <left style="thin">
        <color rgb="FFFF0000"/>
      </left>
      <right/>
      <top style="thin">
        <color rgb="FFFF0000"/>
      </top>
      <bottom style="thin">
        <color rgb="FFFF0000"/>
      </bottom>
      <diagonal/>
    </border>
    <border>
      <left style="thin">
        <color rgb="FFFF0000"/>
      </left>
      <right/>
      <top style="thin">
        <color rgb="FFFF0000"/>
      </top>
      <bottom style="medium">
        <color rgb="FFFF0000"/>
      </bottom>
      <diagonal/>
    </border>
    <border>
      <left style="thin">
        <color rgb="FFFF0000"/>
      </left>
      <right style="thin">
        <color rgb="FFFF0000"/>
      </right>
      <top style="thin">
        <color rgb="FFFF0000"/>
      </top>
      <bottom/>
      <diagonal/>
    </border>
    <border>
      <left/>
      <right style="thin">
        <color rgb="FFFF0000"/>
      </right>
      <top style="thin">
        <color rgb="FFFF0000"/>
      </top>
      <bottom/>
      <diagonal/>
    </border>
    <border>
      <left style="thin">
        <color rgb="FFFF0000"/>
      </left>
      <right style="thin">
        <color rgb="FFFF0000"/>
      </right>
      <top/>
      <bottom style="thin">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right style="medium">
        <color rgb="FFFF0000"/>
      </right>
      <top style="medium">
        <color rgb="FFFF0000"/>
      </top>
      <bottom style="thin">
        <color rgb="FFFF0000"/>
      </bottom>
      <diagonal/>
    </border>
    <border>
      <left/>
      <right style="medium">
        <color rgb="FFFF0000"/>
      </right>
      <top style="thin">
        <color rgb="FFFF0000"/>
      </top>
      <bottom style="thin">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style="medium">
        <color rgb="FFFF0000"/>
      </right>
      <top style="medium">
        <color rgb="FFFF0000"/>
      </top>
      <bottom/>
      <diagonal/>
    </border>
    <border>
      <left/>
      <right/>
      <top style="thin">
        <color rgb="FFFF0000"/>
      </top>
      <bottom style="thin">
        <color rgb="FFFF0000"/>
      </bottom>
      <diagonal/>
    </border>
    <border>
      <left/>
      <right/>
      <top style="thin">
        <color rgb="FFFF0000"/>
      </top>
      <bottom style="medium">
        <color rgb="FFFF0000"/>
      </bottom>
      <diagonal/>
    </border>
    <border>
      <left/>
      <right/>
      <top style="medium">
        <color rgb="FFFF0000"/>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style="thin">
        <color rgb="FFFF0000"/>
      </bottom>
      <diagonal/>
    </border>
    <border>
      <left style="medium">
        <color rgb="FFFF0000"/>
      </left>
      <right/>
      <top style="thin">
        <color rgb="FFFF0000"/>
      </top>
      <bottom style="medium">
        <color rgb="FFFF0000"/>
      </bottom>
      <diagonal/>
    </border>
    <border>
      <left style="thin">
        <color rgb="FFFF0000"/>
      </left>
      <right style="thin">
        <color rgb="FFFF0000"/>
      </right>
      <top/>
      <bottom/>
      <diagonal/>
    </border>
    <border>
      <left style="medium">
        <color rgb="FFFF0000"/>
      </left>
      <right style="thin">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bottom/>
      <diagonal/>
    </border>
    <border>
      <left style="medium">
        <color rgb="FFFF0000"/>
      </left>
      <right style="thin">
        <color rgb="FFFF0000"/>
      </right>
      <top/>
      <bottom style="thin">
        <color rgb="FFFF0000"/>
      </bottom>
      <diagonal/>
    </border>
    <border>
      <left style="thin">
        <color rgb="FFFF0000"/>
      </left>
      <right style="medium">
        <color rgb="FFFF0000"/>
      </right>
      <top/>
      <bottom style="thin">
        <color rgb="FFFF0000"/>
      </bottom>
      <diagonal/>
    </border>
    <border>
      <left/>
      <right style="thin">
        <color indexed="64"/>
      </right>
      <top style="thin">
        <color indexed="64"/>
      </top>
      <bottom/>
      <diagonal/>
    </border>
    <border>
      <left style="thin">
        <color rgb="FFFF0000"/>
      </left>
      <right/>
      <top style="thin">
        <color rgb="FFFF0000"/>
      </top>
      <bottom/>
      <diagonal/>
    </border>
    <border>
      <left/>
      <right/>
      <top style="thin">
        <color rgb="FFFF0000"/>
      </top>
      <bottom/>
      <diagonal/>
    </border>
    <border>
      <left style="thin">
        <color rgb="FFFF0000"/>
      </left>
      <right/>
      <top/>
      <bottom style="thin">
        <color rgb="FFFF0000"/>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style="medium">
        <color rgb="FFFF0000"/>
      </right>
      <top/>
      <bottom style="medium">
        <color rgb="FFFF0000"/>
      </bottom>
      <diagonal/>
    </border>
    <border>
      <left style="thin">
        <color rgb="FFFF0000"/>
      </left>
      <right style="thin">
        <color rgb="FFFF0000"/>
      </right>
      <top/>
      <bottom style="medium">
        <color rgb="FFFF0000"/>
      </bottom>
      <diagonal/>
    </border>
    <border>
      <left style="thin">
        <color rgb="FFFF0000"/>
      </left>
      <right/>
      <top/>
      <bottom style="medium">
        <color rgb="FFFF0000"/>
      </bottom>
      <diagonal/>
    </border>
    <border>
      <left style="thin">
        <color rgb="FFFF0000"/>
      </left>
      <right style="medium">
        <color rgb="FFFF0000"/>
      </right>
      <top/>
      <bottom style="medium">
        <color rgb="FFFF0000"/>
      </bottom>
      <diagonal/>
    </border>
    <border>
      <left style="medium">
        <color rgb="FFFF0000"/>
      </left>
      <right style="medium">
        <color rgb="FFFF0000"/>
      </right>
      <top/>
      <bottom/>
      <diagonal/>
    </border>
    <border>
      <left/>
      <right style="medium">
        <color indexed="64"/>
      </right>
      <top/>
      <bottom/>
      <diagonal/>
    </border>
    <border>
      <left style="medium">
        <color rgb="FFFF0000"/>
      </left>
      <right style="thin">
        <color rgb="FFFF0000"/>
      </right>
      <top style="thin">
        <color rgb="FFFF0000"/>
      </top>
      <bottom/>
      <diagonal/>
    </border>
    <border>
      <left style="thin">
        <color rgb="FFFF0000"/>
      </left>
      <right style="medium">
        <color rgb="FFFF0000"/>
      </right>
      <top style="thin">
        <color rgb="FFFF0000"/>
      </top>
      <bottom/>
      <diagonal/>
    </border>
    <border>
      <left style="medium">
        <color rgb="FFFF0000"/>
      </left>
      <right style="thin">
        <color rgb="FFFF0000"/>
      </right>
      <top/>
      <bottom style="medium">
        <color rgb="FFFF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FF0000"/>
      </left>
      <right/>
      <top/>
      <bottom/>
      <diagonal/>
    </border>
    <border>
      <left style="medium">
        <color rgb="FFFF0000"/>
      </left>
      <right/>
      <top/>
      <bottom/>
      <diagonal/>
    </border>
    <border>
      <left style="thin">
        <color rgb="FFFF0000"/>
      </left>
      <right/>
      <top style="medium">
        <color rgb="FFFF0000"/>
      </top>
      <bottom/>
      <diagonal/>
    </border>
    <border>
      <left style="thin">
        <color rgb="FFFF0000"/>
      </left>
      <right/>
      <top style="medium">
        <color rgb="FFFF0000"/>
      </top>
      <bottom style="medium">
        <color rgb="FFFF0000"/>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thin">
        <color rgb="FFFF0000"/>
      </bottom>
      <diagonal/>
    </border>
    <border>
      <left/>
      <right style="thin">
        <color rgb="FFFF0000"/>
      </right>
      <top style="medium">
        <color rgb="FFFF0000"/>
      </top>
      <bottom style="medium">
        <color rgb="FFFF0000"/>
      </bottom>
      <diagonal/>
    </border>
    <border>
      <left/>
      <right style="medium">
        <color rgb="FFFF0000"/>
      </right>
      <top style="thin">
        <color rgb="FFFF0000"/>
      </top>
      <bottom/>
      <diagonal/>
    </border>
    <border>
      <left/>
      <right style="thin">
        <color rgb="FFFF0000"/>
      </right>
      <top/>
      <bottom style="medium">
        <color rgb="FFFF0000"/>
      </bottom>
      <diagonal/>
    </border>
    <border>
      <left/>
      <right style="thin">
        <color rgb="FFFF0000"/>
      </right>
      <top style="medium">
        <color rgb="FFFF0000"/>
      </top>
      <bottom/>
      <diagonal/>
    </border>
    <border>
      <left/>
      <right style="medium">
        <color rgb="FFFF0000"/>
      </right>
      <top style="thin">
        <color rgb="FFFF0000"/>
      </top>
      <bottom style="medium">
        <color rgb="FFFF0000"/>
      </bottom>
      <diagonal/>
    </border>
    <border>
      <left style="medium">
        <color rgb="FFFFFF00"/>
      </left>
      <right/>
      <top/>
      <bottom/>
      <diagonal/>
    </border>
    <border>
      <left style="medium">
        <color rgb="FFFF0000"/>
      </left>
      <right/>
      <top/>
      <bottom style="thin">
        <color rgb="FFFF0000"/>
      </bottom>
      <diagonal/>
    </border>
    <border>
      <left/>
      <right style="thin">
        <color rgb="FFFF0000"/>
      </right>
      <top/>
      <bottom/>
      <diagonal/>
    </border>
    <border>
      <left style="thin">
        <color rgb="FFFF0000"/>
      </left>
      <right style="medium">
        <color rgb="FFFF0000"/>
      </right>
      <top/>
      <bottom/>
      <diagonal/>
    </border>
    <border>
      <left/>
      <right style="thin">
        <color rgb="FFFF0000"/>
      </right>
      <top/>
      <bottom style="thin">
        <color rgb="FFFF0000"/>
      </bottom>
      <diagonal/>
    </border>
    <border>
      <left style="medium">
        <color rgb="FFFF0000"/>
      </left>
      <right/>
      <top style="thin">
        <color rgb="FFFF000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rgb="FFC00000"/>
      </left>
      <right style="thin">
        <color theme="0" tint="-0.499984740745262"/>
      </right>
      <top style="medium">
        <color rgb="FFC00000"/>
      </top>
      <bottom style="thin">
        <color theme="0" tint="-0.499984740745262"/>
      </bottom>
      <diagonal/>
    </border>
    <border>
      <left style="thin">
        <color theme="0" tint="-0.499984740745262"/>
      </left>
      <right style="thin">
        <color theme="0" tint="-0.499984740745262"/>
      </right>
      <top style="medium">
        <color rgb="FFC00000"/>
      </top>
      <bottom style="thin">
        <color theme="0" tint="-0.499984740745262"/>
      </bottom>
      <diagonal/>
    </border>
    <border>
      <left style="thin">
        <color theme="0" tint="-0.499984740745262"/>
      </left>
      <right style="medium">
        <color rgb="FFC00000"/>
      </right>
      <top style="medium">
        <color rgb="FFC00000"/>
      </top>
      <bottom style="thin">
        <color theme="0" tint="-0.499984740745262"/>
      </bottom>
      <diagonal/>
    </border>
    <border>
      <left style="medium">
        <color rgb="FFC00000"/>
      </left>
      <right style="thin">
        <color theme="0" tint="-0.499984740745262"/>
      </right>
      <top style="thin">
        <color theme="0" tint="-0.499984740745262"/>
      </top>
      <bottom style="medium">
        <color rgb="FFC00000"/>
      </bottom>
      <diagonal/>
    </border>
    <border>
      <left style="thin">
        <color theme="0" tint="-0.499984740745262"/>
      </left>
      <right style="thin">
        <color theme="0" tint="-0.499984740745262"/>
      </right>
      <top style="thin">
        <color theme="0" tint="-0.499984740745262"/>
      </top>
      <bottom style="medium">
        <color rgb="FFC00000"/>
      </bottom>
      <diagonal/>
    </border>
    <border>
      <left style="thin">
        <color theme="0" tint="-0.499984740745262"/>
      </left>
      <right style="medium">
        <color rgb="FFC00000"/>
      </right>
      <top style="thin">
        <color theme="0" tint="-0.499984740745262"/>
      </top>
      <bottom style="medium">
        <color rgb="FFC00000"/>
      </bottom>
      <diagonal/>
    </border>
    <border>
      <left style="medium">
        <color rgb="FFC00000"/>
      </left>
      <right style="thin">
        <color theme="0" tint="-0.499984740745262"/>
      </right>
      <top style="medium">
        <color rgb="FFC00000"/>
      </top>
      <bottom style="medium">
        <color rgb="FFC00000"/>
      </bottom>
      <diagonal/>
    </border>
    <border>
      <left style="thin">
        <color theme="0" tint="-0.499984740745262"/>
      </left>
      <right style="thin">
        <color theme="0" tint="-0.499984740745262"/>
      </right>
      <top style="medium">
        <color rgb="FFC00000"/>
      </top>
      <bottom style="medium">
        <color rgb="FFC00000"/>
      </bottom>
      <diagonal/>
    </border>
    <border>
      <left style="thin">
        <color theme="0" tint="-0.499984740745262"/>
      </left>
      <right style="medium">
        <color rgb="FFC00000"/>
      </right>
      <top style="medium">
        <color rgb="FFC00000"/>
      </top>
      <bottom style="medium">
        <color rgb="FFC00000"/>
      </bottom>
      <diagonal/>
    </border>
    <border>
      <left style="medium">
        <color rgb="FFC00000"/>
      </left>
      <right style="thin">
        <color theme="0" tint="-0.499984740745262"/>
      </right>
      <top style="thin">
        <color theme="0" tint="-0.499984740745262"/>
      </top>
      <bottom style="thin">
        <color theme="0" tint="-0.499984740745262"/>
      </bottom>
      <diagonal/>
    </border>
    <border>
      <left style="thin">
        <color theme="0" tint="-0.499984740745262"/>
      </left>
      <right style="medium">
        <color rgb="FFC00000"/>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top style="medium">
        <color rgb="FFC00000"/>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medium">
        <color rgb="FFC00000"/>
      </bottom>
      <diagonal/>
    </border>
    <border>
      <left style="thin">
        <color theme="0" tint="-0.499984740745262"/>
      </left>
      <right style="medium">
        <color rgb="FFC00000"/>
      </right>
      <top/>
      <bottom style="medium">
        <color rgb="FFC00000"/>
      </bottom>
      <diagonal/>
    </border>
    <border>
      <left style="medium">
        <color rgb="FFC00000"/>
      </left>
      <right style="thin">
        <color theme="0" tint="-0.499984740745262"/>
      </right>
      <top/>
      <bottom/>
      <diagonal/>
    </border>
    <border>
      <left style="thin">
        <color theme="0" tint="-0.499984740745262"/>
      </left>
      <right style="medium">
        <color rgb="FFC00000"/>
      </right>
      <top/>
      <bottom/>
      <diagonal/>
    </border>
    <border>
      <left/>
      <right style="medium">
        <color rgb="FFFFFF00"/>
      </right>
      <top/>
      <bottom/>
      <diagonal/>
    </border>
    <border>
      <left/>
      <right style="medium">
        <color rgb="FFFFFF00"/>
      </right>
      <top style="medium">
        <color rgb="FFFFFF00"/>
      </top>
      <bottom/>
      <diagonal/>
    </border>
    <border>
      <left/>
      <right style="medium">
        <color rgb="FFFFFF00"/>
      </right>
      <top/>
      <bottom style="medium">
        <color rgb="FFFFFF00"/>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9" tint="-0.499984740745262"/>
      </right>
      <top style="medium">
        <color rgb="FFFF0000"/>
      </top>
      <bottom style="thin">
        <color theme="9" tint="-0.499984740745262"/>
      </bottom>
      <diagonal/>
    </border>
    <border>
      <left style="thin">
        <color theme="9" tint="-0.499984740745262"/>
      </left>
      <right style="thin">
        <color theme="9" tint="-0.499984740745262"/>
      </right>
      <top style="medium">
        <color rgb="FFFF0000"/>
      </top>
      <bottom style="thin">
        <color theme="9" tint="-0.499984740745262"/>
      </bottom>
      <diagonal/>
    </border>
    <border>
      <left style="thin">
        <color theme="9" tint="-0.499984740745262"/>
      </left>
      <right style="medium">
        <color rgb="FFFF0000"/>
      </right>
      <top style="medium">
        <color rgb="FFFF0000"/>
      </top>
      <bottom style="thin">
        <color theme="9" tint="-0.499984740745262"/>
      </bottom>
      <diagonal/>
    </border>
    <border>
      <left style="medium">
        <color rgb="FFFF0000"/>
      </left>
      <right style="thin">
        <color theme="9" tint="-0.499984740745262"/>
      </right>
      <top style="thin">
        <color theme="9" tint="-0.499984740745262"/>
      </top>
      <bottom style="thin">
        <color theme="9" tint="-0.499984740745262"/>
      </bottom>
      <diagonal/>
    </border>
    <border>
      <left style="thin">
        <color theme="9" tint="-0.499984740745262"/>
      </left>
      <right style="medium">
        <color rgb="FFFF0000"/>
      </right>
      <top style="thin">
        <color theme="9" tint="-0.499984740745262"/>
      </top>
      <bottom style="thin">
        <color theme="9" tint="-0.499984740745262"/>
      </bottom>
      <diagonal/>
    </border>
    <border>
      <left style="medium">
        <color rgb="FFFF0000"/>
      </left>
      <right style="thin">
        <color theme="9" tint="-0.499984740745262"/>
      </right>
      <top style="thin">
        <color theme="9" tint="-0.499984740745262"/>
      </top>
      <bottom style="medium">
        <color rgb="FFFF0000"/>
      </bottom>
      <diagonal/>
    </border>
    <border>
      <left style="thin">
        <color theme="9" tint="-0.499984740745262"/>
      </left>
      <right style="thin">
        <color theme="9" tint="-0.499984740745262"/>
      </right>
      <top style="thin">
        <color theme="9" tint="-0.499984740745262"/>
      </top>
      <bottom style="medium">
        <color rgb="FFFF0000"/>
      </bottom>
      <diagonal/>
    </border>
    <border>
      <left style="thin">
        <color theme="9" tint="-0.499984740745262"/>
      </left>
      <right style="medium">
        <color rgb="FFFF0000"/>
      </right>
      <top style="thin">
        <color theme="9" tint="-0.499984740745262"/>
      </top>
      <bottom style="medium">
        <color rgb="FFFF0000"/>
      </bottom>
      <diagonal/>
    </border>
    <border>
      <left style="medium">
        <color rgb="FFFF0000"/>
      </left>
      <right style="thin">
        <color theme="9" tint="-0.499984740745262"/>
      </right>
      <top/>
      <bottom style="thin">
        <color theme="9" tint="-0.499984740745262"/>
      </bottom>
      <diagonal/>
    </border>
    <border>
      <left style="thin">
        <color theme="9" tint="-0.499984740745262"/>
      </left>
      <right style="medium">
        <color rgb="FFFF0000"/>
      </right>
      <top/>
      <bottom style="thin">
        <color theme="9" tint="-0.499984740745262"/>
      </bottom>
      <diagonal/>
    </border>
    <border>
      <left style="medium">
        <color rgb="FFFF0000"/>
      </left>
      <right style="thin">
        <color theme="9" tint="-0.499984740745262"/>
      </right>
      <top style="thin">
        <color theme="9" tint="-0.499984740745262"/>
      </top>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medium">
        <color rgb="FFFF0000"/>
      </right>
      <top style="thin">
        <color theme="9" tint="-0.499984740745262"/>
      </top>
      <bottom/>
      <diagonal/>
    </border>
    <border>
      <left style="medium">
        <color rgb="FFFF0000"/>
      </left>
      <right style="thin">
        <color theme="9" tint="-0.499984740745262"/>
      </right>
      <top/>
      <bottom style="medium">
        <color rgb="FFFF0000"/>
      </bottom>
      <diagonal/>
    </border>
    <border>
      <left style="thin">
        <color theme="9" tint="-0.499984740745262"/>
      </left>
      <right style="thin">
        <color theme="9" tint="-0.499984740745262"/>
      </right>
      <top/>
      <bottom style="medium">
        <color rgb="FFFF0000"/>
      </bottom>
      <diagonal/>
    </border>
    <border>
      <left style="thin">
        <color theme="9" tint="-0.499984740745262"/>
      </left>
      <right style="medium">
        <color rgb="FFFF0000"/>
      </right>
      <top/>
      <bottom style="medium">
        <color rgb="FFFF0000"/>
      </bottom>
      <diagonal/>
    </border>
    <border>
      <left style="medium">
        <color rgb="FFFF0000"/>
      </left>
      <right/>
      <top style="medium">
        <color rgb="FFFF0000"/>
      </top>
      <bottom style="thin">
        <color theme="9" tint="-0.499984740745262"/>
      </bottom>
      <diagonal/>
    </border>
    <border>
      <left/>
      <right style="thin">
        <color theme="9" tint="-0.499984740745262"/>
      </right>
      <top style="medium">
        <color rgb="FFFF0000"/>
      </top>
      <bottom style="thin">
        <color theme="9" tint="-0.499984740745262"/>
      </bottom>
      <diagonal/>
    </border>
    <border>
      <left style="thin">
        <color theme="9" tint="-0.499984740745262"/>
      </left>
      <right/>
      <top style="medium">
        <color rgb="FFFF0000"/>
      </top>
      <bottom style="thin">
        <color theme="9" tint="-0.499984740745262"/>
      </bottom>
      <diagonal/>
    </border>
    <border>
      <left/>
      <right style="thin">
        <color theme="9" tint="-0.499984740745262"/>
      </right>
      <top style="medium">
        <color rgb="FFFF0000"/>
      </top>
      <bottom style="medium">
        <color rgb="FFFF0000"/>
      </bottom>
      <diagonal/>
    </border>
    <border>
      <left style="thin">
        <color theme="9" tint="-0.499984740745262"/>
      </left>
      <right style="medium">
        <color rgb="FFFF0000"/>
      </right>
      <top style="medium">
        <color rgb="FFFF0000"/>
      </top>
      <bottom style="medium">
        <color rgb="FFFF0000"/>
      </bottom>
      <diagonal/>
    </border>
    <border>
      <left style="medium">
        <color rgb="FFFF0000"/>
      </left>
      <right/>
      <top style="thin">
        <color theme="9" tint="-0.499984740745262"/>
      </top>
      <bottom/>
      <diagonal/>
    </border>
    <border>
      <left style="thin">
        <color theme="9" tint="-0.499984740745262"/>
      </left>
      <right/>
      <top style="thin">
        <color theme="9" tint="-0.499984740745262"/>
      </top>
      <bottom/>
      <diagonal/>
    </border>
    <border>
      <left/>
      <right style="thin">
        <color theme="9" tint="-0.499984740745262"/>
      </right>
      <top style="thin">
        <color theme="9" tint="-0.499984740745262"/>
      </top>
      <bottom/>
      <diagonal/>
    </border>
    <border>
      <left/>
      <right style="thin">
        <color theme="9" tint="-0.499984740745262"/>
      </right>
      <top style="thin">
        <color theme="9" tint="-0.499984740745262"/>
      </top>
      <bottom style="medium">
        <color rgb="FFFF0000"/>
      </bottom>
      <diagonal/>
    </border>
    <border>
      <left/>
      <right style="thin">
        <color theme="9" tint="-0.499984740745262"/>
      </right>
      <top/>
      <bottom style="thin">
        <color theme="9" tint="-0.499984740745262"/>
      </bottom>
      <diagonal/>
    </border>
    <border>
      <left style="thin">
        <color theme="9" tint="-0.499984740745262"/>
      </left>
      <right/>
      <top style="thin">
        <color theme="9" tint="-0.499984740745262"/>
      </top>
      <bottom style="medium">
        <color rgb="FFFF0000"/>
      </bottom>
      <diagonal/>
    </border>
    <border>
      <left style="thin">
        <color theme="9" tint="-0.499984740745262"/>
      </left>
      <right/>
      <top/>
      <bottom style="thin">
        <color theme="9" tint="-0.499984740745262"/>
      </bottom>
      <diagonal/>
    </border>
    <border>
      <left style="medium">
        <color rgb="FFFF0000"/>
      </left>
      <right/>
      <top style="thin">
        <color theme="9" tint="-0.499984740745262"/>
      </top>
      <bottom style="medium">
        <color rgb="FFFF0000"/>
      </bottom>
      <diagonal/>
    </border>
    <border>
      <left style="medium">
        <color rgb="FFFF0000"/>
      </left>
      <right/>
      <top/>
      <bottom style="thin">
        <color theme="9" tint="-0.499984740745262"/>
      </bottom>
      <diagonal/>
    </border>
    <border>
      <left/>
      <right style="medium">
        <color rgb="FFFF0000"/>
      </right>
      <top/>
      <bottom style="thin">
        <color theme="9" tint="-0.499984740745262"/>
      </bottom>
      <diagonal/>
    </border>
    <border>
      <left/>
      <right style="medium">
        <color rgb="FFFF0000"/>
      </right>
      <top style="thin">
        <color theme="9" tint="-0.499984740745262"/>
      </top>
      <bottom/>
      <diagonal/>
    </border>
    <border>
      <left style="medium">
        <color rgb="FFFF0000"/>
      </left>
      <right style="thin">
        <color theme="9" tint="-0.499984740745262"/>
      </right>
      <top style="medium">
        <color rgb="FFFF0000"/>
      </top>
      <bottom style="medium">
        <color rgb="FFFF0000"/>
      </bottom>
      <diagonal/>
    </border>
    <border>
      <left style="thin">
        <color theme="9" tint="-0.499984740745262"/>
      </left>
      <right/>
      <top style="medium">
        <color rgb="FFFF0000"/>
      </top>
      <bottom style="medium">
        <color rgb="FFFF0000"/>
      </bottom>
      <diagonal/>
    </border>
    <border>
      <left style="medium">
        <color rgb="FFFF0000"/>
      </left>
      <right style="thin">
        <color theme="0" tint="-0.499984740745262"/>
      </right>
      <top style="medium">
        <color rgb="FFFF0000"/>
      </top>
      <bottom style="thin">
        <color theme="0" tint="-0.499984740745262"/>
      </bottom>
      <diagonal/>
    </border>
    <border>
      <left style="thin">
        <color theme="0" tint="-0.499984740745262"/>
      </left>
      <right style="thin">
        <color theme="0" tint="-0.499984740745262"/>
      </right>
      <top style="medium">
        <color rgb="FFFF0000"/>
      </top>
      <bottom style="thin">
        <color theme="0" tint="-0.499984740745262"/>
      </bottom>
      <diagonal/>
    </border>
    <border>
      <left style="thin">
        <color theme="0" tint="-0.499984740745262"/>
      </left>
      <right style="medium">
        <color rgb="FFFF0000"/>
      </right>
      <top style="medium">
        <color rgb="FFFF0000"/>
      </top>
      <bottom style="thin">
        <color theme="0" tint="-0.499984740745262"/>
      </bottom>
      <diagonal/>
    </border>
    <border>
      <left style="medium">
        <color rgb="FFFF0000"/>
      </left>
      <right style="thin">
        <color theme="0" tint="-0.499984740745262"/>
      </right>
      <top style="thin">
        <color theme="0" tint="-0.499984740745262"/>
      </top>
      <bottom style="thin">
        <color theme="0" tint="-0.499984740745262"/>
      </bottom>
      <diagonal/>
    </border>
    <border>
      <left style="thin">
        <color theme="0" tint="-0.499984740745262"/>
      </left>
      <right style="medium">
        <color rgb="FFFF0000"/>
      </right>
      <top style="thin">
        <color theme="0" tint="-0.499984740745262"/>
      </top>
      <bottom style="thin">
        <color theme="0" tint="-0.499984740745262"/>
      </bottom>
      <diagonal/>
    </border>
    <border>
      <left style="medium">
        <color rgb="FFFF0000"/>
      </left>
      <right style="thin">
        <color theme="0" tint="-0.499984740745262"/>
      </right>
      <top style="thin">
        <color theme="0" tint="-0.499984740745262"/>
      </top>
      <bottom style="medium">
        <color rgb="FFFF0000"/>
      </bottom>
      <diagonal/>
    </border>
    <border>
      <left style="thin">
        <color theme="0" tint="-0.499984740745262"/>
      </left>
      <right style="thin">
        <color theme="0" tint="-0.499984740745262"/>
      </right>
      <top style="thin">
        <color theme="0" tint="-0.499984740745262"/>
      </top>
      <bottom style="medium">
        <color rgb="FFFF0000"/>
      </bottom>
      <diagonal/>
    </border>
    <border>
      <left style="thin">
        <color theme="0" tint="-0.499984740745262"/>
      </left>
      <right style="medium">
        <color rgb="FFFF0000"/>
      </right>
      <top style="thin">
        <color theme="0" tint="-0.499984740745262"/>
      </top>
      <bottom style="medium">
        <color rgb="FFFF0000"/>
      </bottom>
      <diagonal/>
    </border>
    <border>
      <left style="medium">
        <color rgb="FFFF0000"/>
      </left>
      <right style="thin">
        <color theme="0" tint="-0.499984740745262"/>
      </right>
      <top style="thin">
        <color theme="0" tint="-0.499984740745262"/>
      </top>
      <bottom/>
      <diagonal/>
    </border>
    <border>
      <left style="thin">
        <color theme="0" tint="-0.499984740745262"/>
      </left>
      <right style="medium">
        <color rgb="FFFF0000"/>
      </right>
      <top style="thin">
        <color theme="0" tint="-0.499984740745262"/>
      </top>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medium">
        <color rgb="FFFF0000"/>
      </right>
      <top style="thin">
        <color theme="9" tint="-0.499984740745262"/>
      </top>
      <bottom style="thin">
        <color theme="9" tint="-0.499984740745262"/>
      </bottom>
      <diagonal/>
    </border>
    <border>
      <left/>
      <right style="thin">
        <color theme="6" tint="-0.499984740745262"/>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medium">
        <color rgb="FFC00000"/>
      </left>
      <right/>
      <top/>
      <bottom style="medium">
        <color rgb="FFC00000"/>
      </bottom>
      <diagonal/>
    </border>
    <border>
      <left style="medium">
        <color rgb="FFC00000"/>
      </left>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rgb="FFFF0000"/>
      </right>
      <top/>
      <bottom style="thin">
        <color theme="0" tint="-0.499984740745262"/>
      </bottom>
      <diagonal/>
    </border>
    <border>
      <left style="thin">
        <color theme="0" tint="-0.499984740745262"/>
      </left>
      <right/>
      <top style="medium">
        <color rgb="FFFF0000"/>
      </top>
      <bottom style="thin">
        <color theme="0" tint="-0.499984740745262"/>
      </bottom>
      <diagonal/>
    </border>
    <border>
      <left/>
      <right style="thin">
        <color theme="0" tint="-0.499984740745262"/>
      </right>
      <top style="medium">
        <color rgb="FFFF0000"/>
      </top>
      <bottom style="thin">
        <color theme="0" tint="-0.499984740745262"/>
      </bottom>
      <diagonal/>
    </border>
    <border>
      <left/>
      <right style="medium">
        <color rgb="FFFF0000"/>
      </right>
      <top style="medium">
        <color rgb="FFFF0000"/>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medium">
        <color rgb="FFFF0000"/>
      </right>
      <top/>
      <bottom style="thin">
        <color theme="0" tint="-0.499984740745262"/>
      </bottom>
      <diagonal/>
    </border>
    <border>
      <left style="thin">
        <color theme="0" tint="-0.499984740745262"/>
      </left>
      <right style="thin">
        <color theme="0" tint="-0.499984740745262"/>
      </right>
      <top/>
      <bottom style="medium">
        <color rgb="FFFF0000"/>
      </bottom>
      <diagonal/>
    </border>
    <border>
      <left style="medium">
        <color rgb="FFC00000"/>
      </left>
      <right/>
      <top style="medium">
        <color rgb="FFC00000"/>
      </top>
      <bottom style="thin">
        <color theme="0" tint="-0.499984740745262"/>
      </bottom>
      <diagonal/>
    </border>
    <border>
      <left/>
      <right/>
      <top style="medium">
        <color rgb="FFC00000"/>
      </top>
      <bottom style="thin">
        <color theme="0" tint="-0.499984740745262"/>
      </bottom>
      <diagonal/>
    </border>
    <border>
      <left/>
      <right style="medium">
        <color rgb="FFC00000"/>
      </right>
      <top style="medium">
        <color rgb="FFC00000"/>
      </top>
      <bottom style="thin">
        <color theme="0" tint="-0.499984740745262"/>
      </bottom>
      <diagonal/>
    </border>
    <border>
      <left style="thin">
        <color theme="0" tint="-0.499984740745262"/>
      </left>
      <right style="thin">
        <color theme="0" tint="-0.499984740745262"/>
      </right>
      <top style="medium">
        <color rgb="FFC00000"/>
      </top>
      <bottom/>
      <diagonal/>
    </border>
    <border>
      <left style="medium">
        <color rgb="FFC00000"/>
      </left>
      <right style="thin">
        <color theme="0" tint="-0.499984740745262"/>
      </right>
      <top style="medium">
        <color rgb="FFC00000"/>
      </top>
      <bottom/>
      <diagonal/>
    </border>
    <border>
      <left style="thin">
        <color theme="0" tint="-0.499984740745262"/>
      </left>
      <right style="medium">
        <color rgb="FFC00000"/>
      </right>
      <top style="medium">
        <color rgb="FFC00000"/>
      </top>
      <bottom/>
      <diagonal/>
    </border>
    <border>
      <left style="thin">
        <color theme="4" tint="-0.249977111117893"/>
      </left>
      <right style="thin">
        <color theme="4" tint="-0.249977111117893"/>
      </right>
      <top style="thin">
        <color theme="0" tint="-0.499984740745262"/>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0" tint="-0.499984740745262"/>
      </right>
      <top style="thin">
        <color theme="0" tint="-0.499984740745262"/>
      </top>
      <bottom style="thin">
        <color theme="4" tint="-0.249977111117893"/>
      </bottom>
      <diagonal/>
    </border>
    <border>
      <left style="thin">
        <color theme="0" tint="-0.499984740745262"/>
      </left>
      <right/>
      <top style="thin">
        <color theme="0" tint="-0.499984740745262"/>
      </top>
      <bottom style="thin">
        <color theme="4" tint="-0.249977111117893"/>
      </bottom>
      <diagonal/>
    </border>
    <border>
      <left/>
      <right style="thin">
        <color theme="4" tint="-0.249977111117893"/>
      </right>
      <top style="thin">
        <color theme="0" tint="-0.499984740745262"/>
      </top>
      <bottom style="thin">
        <color theme="4" tint="-0.249977111117893"/>
      </bottom>
      <diagonal/>
    </border>
    <border>
      <left style="medium">
        <color rgb="FFFF0000"/>
      </left>
      <right style="thin">
        <color theme="0" tint="-0.499984740745262"/>
      </right>
      <top/>
      <bottom style="thin">
        <color theme="0" tint="-0.499984740745262"/>
      </bottom>
      <diagonal/>
    </border>
    <border>
      <left style="medium">
        <color rgb="FFFF0000"/>
      </left>
      <right style="thin">
        <color theme="4" tint="-0.249977111117893"/>
      </right>
      <top style="medium">
        <color rgb="FFFF0000"/>
      </top>
      <bottom style="thin">
        <color theme="0" tint="-0.499984740745262"/>
      </bottom>
      <diagonal/>
    </border>
    <border>
      <left style="thin">
        <color theme="4" tint="-0.249977111117893"/>
      </left>
      <right style="thin">
        <color theme="4" tint="-0.249977111117893"/>
      </right>
      <top style="medium">
        <color rgb="FFFF0000"/>
      </top>
      <bottom/>
      <diagonal/>
    </border>
    <border>
      <left style="thin">
        <color theme="4" tint="-0.249977111117893"/>
      </left>
      <right style="thin">
        <color theme="4" tint="-0.249977111117893"/>
      </right>
      <top style="medium">
        <color rgb="FFFF0000"/>
      </top>
      <bottom style="thin">
        <color theme="0" tint="-0.499984740745262"/>
      </bottom>
      <diagonal/>
    </border>
    <border>
      <left style="thin">
        <color theme="4" tint="-0.249977111117893"/>
      </left>
      <right style="thin">
        <color theme="0" tint="-0.499984740745262"/>
      </right>
      <top style="medium">
        <color rgb="FFFF0000"/>
      </top>
      <bottom style="thin">
        <color theme="0" tint="-0.499984740745262"/>
      </bottom>
      <diagonal/>
    </border>
    <border>
      <left/>
      <right style="thin">
        <color theme="4" tint="-0.249977111117893"/>
      </right>
      <top style="medium">
        <color rgb="FFFF0000"/>
      </top>
      <bottom style="thin">
        <color theme="0" tint="-0.499984740745262"/>
      </bottom>
      <diagonal/>
    </border>
    <border>
      <left style="medium">
        <color rgb="FFFF0000"/>
      </left>
      <right style="thin">
        <color theme="4" tint="-0.249977111117893"/>
      </right>
      <top style="thin">
        <color theme="0" tint="-0.499984740745262"/>
      </top>
      <bottom style="thin">
        <color theme="4" tint="-0.249977111117893"/>
      </bottom>
      <diagonal/>
    </border>
    <border>
      <left style="thin">
        <color theme="0" tint="-0.499984740745262"/>
      </left>
      <right style="medium">
        <color rgb="FFFF0000"/>
      </right>
      <top style="thin">
        <color theme="0" tint="-0.499984740745262"/>
      </top>
      <bottom style="thin">
        <color theme="4" tint="-0.249977111117893"/>
      </bottom>
      <diagonal/>
    </border>
    <border>
      <left style="medium">
        <color rgb="FFFF0000"/>
      </left>
      <right style="thin">
        <color theme="0" tint="-0.499984740745262"/>
      </right>
      <top/>
      <bottom style="medium">
        <color rgb="FFFF0000"/>
      </bottom>
      <diagonal/>
    </border>
    <border>
      <left style="thin">
        <color theme="0" tint="-0.499984740745262"/>
      </left>
      <right style="medium">
        <color rgb="FFFF0000"/>
      </right>
      <top/>
      <bottom style="medium">
        <color rgb="FFFF0000"/>
      </bottom>
      <diagonal/>
    </border>
    <border>
      <left/>
      <right style="medium">
        <color rgb="FFFF0000"/>
      </right>
      <top style="thin">
        <color theme="0" tint="-0.499984740745262"/>
      </top>
      <bottom style="thin">
        <color theme="0" tint="-0.499984740745262"/>
      </bottom>
      <diagonal/>
    </border>
  </borders>
  <cellStyleXfs count="2">
    <xf numFmtId="0" fontId="0" fillId="0" borderId="0"/>
    <xf numFmtId="0" fontId="46" fillId="0" borderId="0" applyNumberFormat="0" applyFill="0" applyBorder="0" applyAlignment="0" applyProtection="0">
      <alignment vertical="top"/>
      <protection locked="0"/>
    </xf>
  </cellStyleXfs>
  <cellXfs count="1780">
    <xf numFmtId="0" fontId="0" fillId="0" borderId="0" xfId="0"/>
    <xf numFmtId="0" fontId="20" fillId="16" borderId="0" xfId="0" applyFont="1" applyFill="1" applyAlignment="1" applyProtection="1">
      <alignment horizontal="center" vertical="center"/>
      <protection hidden="1"/>
    </xf>
    <xf numFmtId="0" fontId="0" fillId="16" borderId="0" xfId="0" applyFill="1" applyProtection="1">
      <protection hidden="1"/>
    </xf>
    <xf numFmtId="0" fontId="42" fillId="16" borderId="1" xfId="0" applyFont="1" applyFill="1" applyBorder="1" applyAlignment="1" applyProtection="1">
      <alignment horizontal="center" vertical="center" wrapText="1"/>
      <protection hidden="1"/>
    </xf>
    <xf numFmtId="0" fontId="27" fillId="9" borderId="16" xfId="0" applyFont="1" applyFill="1" applyBorder="1" applyAlignment="1" applyProtection="1">
      <alignment horizontal="center" vertical="center"/>
      <protection locked="0"/>
    </xf>
    <xf numFmtId="0" fontId="0" fillId="7" borderId="0" xfId="0" applyFill="1" applyProtection="1">
      <protection hidden="1"/>
    </xf>
    <xf numFmtId="0" fontId="31" fillId="4" borderId="26" xfId="0" applyFont="1" applyFill="1" applyBorder="1" applyAlignment="1" applyProtection="1">
      <alignment horizontal="center" vertical="center"/>
      <protection hidden="1"/>
    </xf>
    <xf numFmtId="14" fontId="31" fillId="4" borderId="26" xfId="0" applyNumberFormat="1" applyFont="1" applyFill="1" applyBorder="1" applyAlignment="1" applyProtection="1">
      <alignment horizontal="center" vertical="center"/>
      <protection hidden="1"/>
    </xf>
    <xf numFmtId="0" fontId="31" fillId="4" borderId="9" xfId="0" applyFont="1" applyFill="1" applyBorder="1" applyAlignment="1" applyProtection="1">
      <alignment horizontal="center" vertical="center"/>
      <protection hidden="1"/>
    </xf>
    <xf numFmtId="14" fontId="31" fillId="4" borderId="9" xfId="0" applyNumberFormat="1" applyFont="1" applyFill="1" applyBorder="1" applyAlignment="1" applyProtection="1">
      <alignment horizontal="center" vertical="center"/>
      <protection hidden="1"/>
    </xf>
    <xf numFmtId="0" fontId="24" fillId="4" borderId="11" xfId="0" applyFont="1" applyFill="1" applyBorder="1" applyAlignment="1" applyProtection="1">
      <alignment horizontal="center" vertical="center" wrapText="1"/>
      <protection hidden="1"/>
    </xf>
    <xf numFmtId="0" fontId="24" fillId="4" borderId="9" xfId="0" applyFont="1" applyFill="1" applyBorder="1" applyAlignment="1" applyProtection="1">
      <alignment horizontal="center" vertical="center" wrapText="1"/>
      <protection hidden="1"/>
    </xf>
    <xf numFmtId="0" fontId="27" fillId="9" borderId="24" xfId="0" applyFont="1" applyFill="1" applyBorder="1" applyAlignment="1" applyProtection="1">
      <alignment horizontal="center" vertical="center"/>
      <protection locked="0"/>
    </xf>
    <xf numFmtId="0" fontId="27" fillId="9" borderId="11" xfId="0" applyFont="1" applyFill="1" applyBorder="1" applyAlignment="1" applyProtection="1">
      <alignment horizontal="center" vertical="center"/>
      <protection locked="0"/>
    </xf>
    <xf numFmtId="0" fontId="0" fillId="7" borderId="0" xfId="0" applyFill="1" applyAlignment="1" applyProtection="1">
      <protection hidden="1"/>
    </xf>
    <xf numFmtId="0" fontId="37" fillId="4" borderId="63" xfId="0" applyFont="1" applyFill="1" applyBorder="1" applyAlignment="1" applyProtection="1">
      <alignment horizontal="center" vertical="center" wrapText="1"/>
      <protection hidden="1"/>
    </xf>
    <xf numFmtId="0" fontId="37" fillId="4" borderId="24" xfId="0" applyFont="1" applyFill="1" applyBorder="1" applyAlignment="1" applyProtection="1">
      <alignment horizontal="center" vertical="center" wrapText="1"/>
      <protection hidden="1"/>
    </xf>
    <xf numFmtId="0" fontId="0" fillId="0" borderId="0" xfId="0" applyProtection="1">
      <protection hidden="1"/>
    </xf>
    <xf numFmtId="17" fontId="0" fillId="7" borderId="0" xfId="0" applyNumberFormat="1" applyFill="1" applyAlignment="1" applyProtection="1">
      <alignment horizontal="center" vertical="center"/>
      <protection hidden="1"/>
    </xf>
    <xf numFmtId="14" fontId="0" fillId="7" borderId="0" xfId="0" applyNumberFormat="1" applyFill="1" applyAlignment="1" applyProtection="1">
      <alignment horizontal="center" vertical="center"/>
      <protection hidden="1"/>
    </xf>
    <xf numFmtId="0" fontId="34" fillId="7" borderId="0" xfId="0" applyFont="1" applyFill="1" applyProtection="1">
      <protection hidden="1"/>
    </xf>
    <xf numFmtId="0" fontId="16" fillId="7" borderId="0" xfId="0" applyFont="1" applyFill="1" applyProtection="1">
      <protection hidden="1"/>
    </xf>
    <xf numFmtId="0" fontId="0" fillId="7" borderId="0" xfId="0" applyFill="1" applyAlignment="1" applyProtection="1">
      <alignment horizontal="center" vertical="center"/>
      <protection hidden="1"/>
    </xf>
    <xf numFmtId="0" fontId="19" fillId="7" borderId="0" xfId="0" applyFont="1" applyFill="1" applyProtection="1">
      <protection hidden="1"/>
    </xf>
    <xf numFmtId="1" fontId="51" fillId="7" borderId="0" xfId="0" applyNumberFormat="1" applyFont="1" applyFill="1" applyAlignment="1" applyProtection="1">
      <alignment horizontal="center"/>
      <protection hidden="1"/>
    </xf>
    <xf numFmtId="165" fontId="51" fillId="7" borderId="0" xfId="0" applyNumberFormat="1" applyFont="1" applyFill="1" applyAlignment="1" applyProtection="1">
      <alignment horizontal="center"/>
      <protection hidden="1"/>
    </xf>
    <xf numFmtId="165" fontId="0" fillId="7" borderId="0" xfId="0" applyNumberFormat="1" applyFill="1" applyProtection="1">
      <protection hidden="1"/>
    </xf>
    <xf numFmtId="0" fontId="37" fillId="4" borderId="51" xfId="0" applyFont="1" applyFill="1" applyBorder="1" applyAlignment="1" applyProtection="1">
      <alignment horizontal="center" vertical="center" wrapText="1"/>
      <protection hidden="1"/>
    </xf>
    <xf numFmtId="0" fontId="0" fillId="7" borderId="0" xfId="0" applyFill="1" applyBorder="1" applyAlignment="1" applyProtection="1">
      <protection hidden="1"/>
    </xf>
    <xf numFmtId="0" fontId="31" fillId="4" borderId="48" xfId="0" applyFont="1" applyFill="1" applyBorder="1" applyAlignment="1" applyProtection="1">
      <alignment horizontal="center" vertical="center"/>
      <protection hidden="1"/>
    </xf>
    <xf numFmtId="0" fontId="31" fillId="4" borderId="13" xfId="0" applyFont="1" applyFill="1" applyBorder="1" applyAlignment="1" applyProtection="1">
      <alignment horizontal="center" vertical="center"/>
      <protection hidden="1"/>
    </xf>
    <xf numFmtId="0" fontId="33" fillId="8" borderId="46" xfId="0" applyFont="1" applyFill="1" applyBorder="1" applyAlignment="1" applyProtection="1">
      <alignment horizontal="center" vertical="center"/>
      <protection hidden="1"/>
    </xf>
    <xf numFmtId="0" fontId="0" fillId="19" borderId="0" xfId="0" applyFill="1" applyProtection="1">
      <protection hidden="1"/>
    </xf>
    <xf numFmtId="0" fontId="3" fillId="0" borderId="0" xfId="0" applyFont="1" applyProtection="1">
      <protection hidden="1"/>
    </xf>
    <xf numFmtId="0" fontId="44" fillId="0" borderId="15" xfId="0" applyFont="1" applyFill="1" applyBorder="1" applyAlignment="1" applyProtection="1">
      <alignment horizontal="center" vertical="center" wrapText="1"/>
      <protection hidden="1"/>
    </xf>
    <xf numFmtId="0" fontId="44" fillId="0" borderId="16" xfId="0" applyFont="1" applyFill="1" applyBorder="1" applyAlignment="1" applyProtection="1">
      <alignment horizontal="center" vertical="center" wrapText="1"/>
      <protection hidden="1"/>
    </xf>
    <xf numFmtId="165" fontId="65" fillId="0" borderId="0" xfId="0" applyNumberFormat="1" applyFont="1" applyProtection="1">
      <protection hidden="1"/>
    </xf>
    <xf numFmtId="0" fontId="65" fillId="0" borderId="0" xfId="0" applyFont="1" applyProtection="1">
      <protection hidden="1"/>
    </xf>
    <xf numFmtId="0" fontId="3" fillId="19" borderId="0" xfId="0" applyFont="1" applyFill="1" applyAlignment="1" applyProtection="1">
      <alignment horizontal="center"/>
      <protection hidden="1"/>
    </xf>
    <xf numFmtId="0" fontId="70" fillId="20" borderId="0" xfId="0" applyFont="1" applyFill="1" applyAlignment="1" applyProtection="1">
      <alignment horizontal="center" vertical="center" wrapText="1"/>
      <protection hidden="1"/>
    </xf>
    <xf numFmtId="0" fontId="0" fillId="4" borderId="0" xfId="0" applyFill="1" applyProtection="1">
      <protection hidden="1"/>
    </xf>
    <xf numFmtId="0" fontId="29" fillId="4" borderId="0" xfId="0" applyFont="1" applyFill="1" applyBorder="1" applyAlignment="1" applyProtection="1">
      <alignment horizontal="center" vertical="center" wrapText="1"/>
      <protection hidden="1"/>
    </xf>
    <xf numFmtId="0" fontId="0" fillId="7" borderId="72" xfId="0" applyFill="1" applyBorder="1" applyAlignment="1" applyProtection="1">
      <protection hidden="1"/>
    </xf>
    <xf numFmtId="0" fontId="0" fillId="7" borderId="76" xfId="0" applyFill="1" applyBorder="1" applyAlignment="1" applyProtection="1">
      <protection hidden="1"/>
    </xf>
    <xf numFmtId="0" fontId="0" fillId="7" borderId="77" xfId="0" applyFill="1" applyBorder="1" applyAlignment="1" applyProtection="1">
      <protection hidden="1"/>
    </xf>
    <xf numFmtId="0" fontId="0" fillId="7" borderId="82" xfId="0" applyFill="1" applyBorder="1" applyAlignment="1" applyProtection="1">
      <protection hidden="1"/>
    </xf>
    <xf numFmtId="0" fontId="0" fillId="0" borderId="0" xfId="0" applyAlignment="1" applyProtection="1">
      <protection hidden="1"/>
    </xf>
    <xf numFmtId="174" fontId="3" fillId="6" borderId="48" xfId="0" applyNumberFormat="1" applyFont="1" applyFill="1" applyBorder="1" applyAlignment="1" applyProtection="1">
      <alignment horizontal="center" vertical="center" shrinkToFit="1"/>
      <protection hidden="1"/>
    </xf>
    <xf numFmtId="175" fontId="3" fillId="6" borderId="49" xfId="0" applyNumberFormat="1" applyFont="1" applyFill="1" applyBorder="1" applyAlignment="1" applyProtection="1">
      <alignment horizontal="center" vertical="center" wrapText="1"/>
      <protection hidden="1"/>
    </xf>
    <xf numFmtId="175" fontId="3" fillId="6" borderId="39" xfId="0" applyNumberFormat="1" applyFont="1" applyFill="1" applyBorder="1" applyAlignment="1" applyProtection="1">
      <alignment horizontal="center" vertical="center" wrapText="1"/>
      <protection hidden="1"/>
    </xf>
    <xf numFmtId="0" fontId="48" fillId="6" borderId="40" xfId="0" applyFont="1" applyFill="1" applyBorder="1" applyAlignment="1" applyProtection="1">
      <alignment horizontal="center" vertical="center" wrapText="1"/>
      <protection hidden="1"/>
    </xf>
    <xf numFmtId="0" fontId="48" fillId="6" borderId="32" xfId="0" applyFont="1" applyFill="1" applyBorder="1" applyAlignment="1" applyProtection="1">
      <alignment horizontal="center" vertical="center" wrapText="1"/>
      <protection hidden="1"/>
    </xf>
    <xf numFmtId="175" fontId="5" fillId="6" borderId="14" xfId="0" applyNumberFormat="1" applyFont="1" applyFill="1" applyBorder="1" applyAlignment="1" applyProtection="1">
      <alignment horizontal="center" vertical="center" wrapText="1"/>
      <protection hidden="1"/>
    </xf>
    <xf numFmtId="175" fontId="5" fillId="6" borderId="36" xfId="0" applyNumberFormat="1" applyFont="1" applyFill="1" applyBorder="1" applyAlignment="1" applyProtection="1">
      <alignment horizontal="center" vertical="center" wrapText="1"/>
      <protection hidden="1"/>
    </xf>
    <xf numFmtId="0" fontId="7" fillId="6" borderId="32" xfId="0" applyFont="1" applyFill="1" applyBorder="1" applyAlignment="1" applyProtection="1">
      <alignment horizontal="center" vertical="center" wrapText="1"/>
      <protection hidden="1"/>
    </xf>
    <xf numFmtId="175" fontId="5" fillId="6" borderId="64" xfId="0" applyNumberFormat="1" applyFont="1" applyFill="1" applyBorder="1" applyAlignment="1" applyProtection="1">
      <alignment horizontal="center" vertical="center" wrapText="1"/>
      <protection hidden="1"/>
    </xf>
    <xf numFmtId="175" fontId="5" fillId="6" borderId="52" xfId="0" applyNumberFormat="1" applyFont="1" applyFill="1" applyBorder="1" applyAlignment="1" applyProtection="1">
      <alignment horizontal="center" vertical="center" wrapText="1"/>
      <protection hidden="1"/>
    </xf>
    <xf numFmtId="14" fontId="0" fillId="0" borderId="0" xfId="0" applyNumberFormat="1" applyAlignment="1" applyProtection="1">
      <protection hidden="1"/>
    </xf>
    <xf numFmtId="14" fontId="0" fillId="0" borderId="0" xfId="0" applyNumberFormat="1" applyProtection="1">
      <protection hidden="1"/>
    </xf>
    <xf numFmtId="174" fontId="3" fillId="6" borderId="47" xfId="0" applyNumberFormat="1" applyFont="1" applyFill="1" applyBorder="1" applyAlignment="1" applyProtection="1">
      <alignment horizontal="center" vertical="center" shrinkToFit="1"/>
      <protection hidden="1"/>
    </xf>
    <xf numFmtId="0" fontId="7" fillId="6" borderId="81" xfId="0" applyFont="1" applyFill="1" applyBorder="1" applyAlignment="1" applyProtection="1">
      <alignment horizontal="center" vertical="center" wrapText="1"/>
      <protection hidden="1"/>
    </xf>
    <xf numFmtId="14" fontId="71" fillId="6" borderId="30" xfId="0" applyNumberFormat="1" applyFont="1" applyFill="1" applyBorder="1" applyAlignment="1" applyProtection="1">
      <alignment horizontal="center" vertical="center" wrapText="1"/>
      <protection hidden="1"/>
    </xf>
    <xf numFmtId="0" fontId="0" fillId="7" borderId="77" xfId="0" applyFill="1" applyBorder="1" applyAlignment="1" applyProtection="1">
      <alignment horizontal="center" vertical="center"/>
      <protection hidden="1"/>
    </xf>
    <xf numFmtId="0" fontId="31" fillId="4" borderId="26" xfId="0" applyFont="1" applyFill="1" applyBorder="1" applyAlignment="1" applyProtection="1">
      <alignment horizontal="center" vertical="center"/>
      <protection locked="0" hidden="1"/>
    </xf>
    <xf numFmtId="0" fontId="55" fillId="6" borderId="9" xfId="0" applyFont="1" applyFill="1" applyBorder="1" applyAlignment="1" applyProtection="1">
      <alignment horizontal="center" vertical="center"/>
      <protection locked="0" hidden="1"/>
    </xf>
    <xf numFmtId="0" fontId="3" fillId="19" borderId="0" xfId="0" applyFont="1" applyFill="1" applyAlignment="1" applyProtection="1">
      <alignment horizontal="center"/>
      <protection hidden="1"/>
    </xf>
    <xf numFmtId="0" fontId="11" fillId="0" borderId="65" xfId="0" applyFont="1" applyFill="1" applyBorder="1" applyAlignment="1" applyProtection="1">
      <alignment horizontal="center" vertical="center" wrapText="1"/>
      <protection hidden="1"/>
    </xf>
    <xf numFmtId="168" fontId="27" fillId="9" borderId="22" xfId="0" applyNumberFormat="1" applyFont="1" applyFill="1" applyBorder="1" applyAlignment="1" applyProtection="1">
      <alignment horizontal="center" vertical="center"/>
      <protection locked="0"/>
    </xf>
    <xf numFmtId="14" fontId="0" fillId="7" borderId="0" xfId="0" applyNumberFormat="1" applyFill="1" applyBorder="1" applyAlignment="1" applyProtection="1">
      <alignment vertical="center"/>
      <protection hidden="1"/>
    </xf>
    <xf numFmtId="1" fontId="81" fillId="7" borderId="0" xfId="0" applyNumberFormat="1" applyFont="1" applyFill="1" applyBorder="1" applyAlignment="1" applyProtection="1">
      <alignment vertical="center"/>
      <protection hidden="1"/>
    </xf>
    <xf numFmtId="1" fontId="23" fillId="9" borderId="29" xfId="0" applyNumberFormat="1" applyFont="1" applyFill="1" applyBorder="1" applyAlignment="1" applyProtection="1">
      <alignment horizontal="left" vertical="center" indent="1"/>
      <protection locked="0"/>
    </xf>
    <xf numFmtId="0" fontId="84" fillId="6" borderId="49" xfId="0" applyFont="1" applyFill="1" applyBorder="1" applyAlignment="1" applyProtection="1">
      <alignment horizontal="center" vertical="center" wrapText="1"/>
      <protection locked="0" hidden="1"/>
    </xf>
    <xf numFmtId="0" fontId="32" fillId="4" borderId="16" xfId="0" applyFont="1" applyFill="1" applyBorder="1" applyAlignment="1" applyProtection="1">
      <alignment horizontal="center" vertical="center" wrapText="1"/>
      <protection hidden="1"/>
    </xf>
    <xf numFmtId="0" fontId="32" fillId="4" borderId="17" xfId="0" applyFont="1" applyFill="1" applyBorder="1" applyAlignment="1" applyProtection="1">
      <alignment horizontal="center" vertical="center" wrapText="1"/>
      <protection hidden="1"/>
    </xf>
    <xf numFmtId="0" fontId="74" fillId="7" borderId="0" xfId="0" applyFont="1" applyFill="1" applyAlignment="1" applyProtection="1">
      <alignment vertical="center"/>
      <protection hidden="1"/>
    </xf>
    <xf numFmtId="2" fontId="59" fillId="6" borderId="9" xfId="0" applyNumberFormat="1" applyFont="1" applyFill="1" applyBorder="1" applyAlignment="1" applyProtection="1">
      <alignment horizontal="center" vertical="center" wrapText="1"/>
      <protection hidden="1"/>
    </xf>
    <xf numFmtId="1" fontId="58" fillId="4" borderId="9" xfId="0" applyNumberFormat="1" applyFont="1" applyFill="1" applyBorder="1" applyAlignment="1" applyProtection="1">
      <alignment horizontal="center" vertical="center" wrapText="1"/>
      <protection hidden="1"/>
    </xf>
    <xf numFmtId="0" fontId="72" fillId="4" borderId="63" xfId="0" applyFont="1" applyFill="1" applyBorder="1" applyAlignment="1" applyProtection="1">
      <alignment horizontal="center" vertical="center" wrapText="1"/>
      <protection hidden="1"/>
    </xf>
    <xf numFmtId="0" fontId="72" fillId="4" borderId="24" xfId="0" applyFont="1" applyFill="1" applyBorder="1" applyAlignment="1" applyProtection="1">
      <alignment horizontal="center" vertical="center" wrapText="1"/>
      <protection hidden="1"/>
    </xf>
    <xf numFmtId="165" fontId="72" fillId="4" borderId="24" xfId="0" applyNumberFormat="1" applyFont="1" applyFill="1" applyBorder="1" applyAlignment="1" applyProtection="1">
      <alignment horizontal="center" vertical="center" wrapText="1"/>
      <protection hidden="1"/>
    </xf>
    <xf numFmtId="0" fontId="37" fillId="4" borderId="64" xfId="0" applyFont="1" applyFill="1" applyBorder="1" applyAlignment="1" applyProtection="1">
      <alignment horizontal="center" vertical="center" wrapText="1"/>
      <protection hidden="1"/>
    </xf>
    <xf numFmtId="0" fontId="11" fillId="0" borderId="58" xfId="0" applyFont="1" applyFill="1" applyBorder="1" applyAlignment="1" applyProtection="1">
      <alignment horizontal="center" vertical="center" wrapText="1"/>
      <protection hidden="1"/>
    </xf>
    <xf numFmtId="0" fontId="8" fillId="0" borderId="17" xfId="0" applyFont="1" applyFill="1" applyBorder="1" applyAlignment="1" applyProtection="1">
      <alignment horizontal="center" vertical="center" wrapText="1"/>
      <protection hidden="1"/>
    </xf>
    <xf numFmtId="0" fontId="32" fillId="4" borderId="15" xfId="0" applyFont="1" applyFill="1" applyBorder="1" applyAlignment="1" applyProtection="1">
      <alignment horizontal="center" vertical="center" wrapText="1"/>
      <protection hidden="1"/>
    </xf>
    <xf numFmtId="1" fontId="82" fillId="4" borderId="27" xfId="0" applyNumberFormat="1" applyFont="1" applyFill="1" applyBorder="1" applyAlignment="1" applyProtection="1">
      <alignment vertical="center"/>
      <protection hidden="1"/>
    </xf>
    <xf numFmtId="1" fontId="82" fillId="4" borderId="74" xfId="0" applyNumberFormat="1" applyFont="1" applyFill="1" applyBorder="1" applyAlignment="1" applyProtection="1">
      <alignment horizontal="center" vertical="center"/>
      <protection hidden="1"/>
    </xf>
    <xf numFmtId="0" fontId="31" fillId="4" borderId="63" xfId="0" applyFont="1" applyFill="1" applyBorder="1" applyAlignment="1" applyProtection="1">
      <alignment horizontal="center" vertical="center"/>
      <protection hidden="1"/>
    </xf>
    <xf numFmtId="14" fontId="31" fillId="4" borderId="24" xfId="0" applyNumberFormat="1" applyFont="1" applyFill="1" applyBorder="1" applyAlignment="1" applyProtection="1">
      <alignment horizontal="center" vertical="center"/>
      <protection hidden="1"/>
    </xf>
    <xf numFmtId="0" fontId="31" fillId="4" borderId="24" xfId="0" applyFont="1" applyFill="1" applyBorder="1" applyAlignment="1" applyProtection="1">
      <alignment horizontal="center" vertical="center"/>
      <protection hidden="1"/>
    </xf>
    <xf numFmtId="0" fontId="31" fillId="4" borderId="43" xfId="0" applyFont="1" applyFill="1" applyBorder="1" applyAlignment="1" applyProtection="1">
      <alignment horizontal="center" vertical="center"/>
      <protection locked="0" hidden="1"/>
    </xf>
    <xf numFmtId="0" fontId="73" fillId="4" borderId="16" xfId="0" applyFont="1" applyFill="1" applyBorder="1" applyAlignment="1" applyProtection="1">
      <alignment vertical="center"/>
      <protection hidden="1"/>
    </xf>
    <xf numFmtId="0" fontId="73" fillId="4" borderId="17" xfId="0" applyFont="1" applyFill="1" applyBorder="1" applyAlignment="1" applyProtection="1">
      <alignment vertical="center"/>
      <protection hidden="1"/>
    </xf>
    <xf numFmtId="0" fontId="4" fillId="0" borderId="65" xfId="0" applyFont="1" applyFill="1" applyBorder="1" applyAlignment="1" applyProtection="1">
      <alignment horizontal="center" vertical="center" wrapText="1"/>
      <protection hidden="1"/>
    </xf>
    <xf numFmtId="0" fontId="4" fillId="0" borderId="58" xfId="0" applyFont="1" applyFill="1" applyBorder="1" applyAlignment="1" applyProtection="1">
      <alignment horizontal="center" vertical="center" wrapText="1"/>
      <protection hidden="1"/>
    </xf>
    <xf numFmtId="0" fontId="4" fillId="0" borderId="60" xfId="0" applyFont="1" applyFill="1" applyBorder="1" applyAlignment="1" applyProtection="1">
      <alignment horizontal="center" vertical="center" wrapText="1"/>
      <protection hidden="1"/>
    </xf>
    <xf numFmtId="1" fontId="5" fillId="6" borderId="48" xfId="0" applyNumberFormat="1" applyFont="1" applyFill="1" applyBorder="1" applyAlignment="1" applyProtection="1">
      <alignment horizontal="center" vertical="center" wrapText="1"/>
      <protection hidden="1"/>
    </xf>
    <xf numFmtId="1" fontId="45" fillId="6" borderId="26" xfId="0" applyNumberFormat="1" applyFont="1" applyFill="1" applyBorder="1" applyAlignment="1" applyProtection="1">
      <alignment horizontal="center" vertical="center" wrapText="1"/>
      <protection hidden="1"/>
    </xf>
    <xf numFmtId="1" fontId="5" fillId="6" borderId="26" xfId="0" applyNumberFormat="1" applyFont="1" applyFill="1" applyBorder="1" applyAlignment="1" applyProtection="1">
      <alignment horizontal="center" vertical="center" wrapText="1"/>
      <protection hidden="1"/>
    </xf>
    <xf numFmtId="1" fontId="7" fillId="6" borderId="49" xfId="0" applyNumberFormat="1" applyFont="1" applyFill="1" applyBorder="1" applyAlignment="1" applyProtection="1">
      <alignment horizontal="center" vertical="center" wrapText="1"/>
      <protection hidden="1"/>
    </xf>
    <xf numFmtId="1" fontId="5" fillId="6" borderId="13" xfId="0" applyNumberFormat="1" applyFont="1" applyFill="1" applyBorder="1" applyAlignment="1" applyProtection="1">
      <alignment horizontal="center" vertical="center" wrapText="1"/>
      <protection hidden="1"/>
    </xf>
    <xf numFmtId="1" fontId="5" fillId="6" borderId="9" xfId="0" applyNumberFormat="1" applyFont="1" applyFill="1" applyBorder="1" applyAlignment="1" applyProtection="1">
      <alignment horizontal="center" vertical="center" wrapText="1"/>
      <protection hidden="1"/>
    </xf>
    <xf numFmtId="1" fontId="5" fillId="6" borderId="15" xfId="0" applyNumberFormat="1" applyFont="1" applyFill="1" applyBorder="1" applyAlignment="1" applyProtection="1">
      <alignment horizontal="center" vertical="center" wrapText="1"/>
      <protection hidden="1"/>
    </xf>
    <xf numFmtId="1" fontId="5" fillId="6" borderId="16" xfId="0" applyNumberFormat="1" applyFont="1" applyFill="1" applyBorder="1" applyAlignment="1" applyProtection="1">
      <alignment horizontal="center" vertical="center" wrapText="1"/>
      <protection hidden="1"/>
    </xf>
    <xf numFmtId="1" fontId="7" fillId="6" borderId="14" xfId="0" applyNumberFormat="1" applyFont="1" applyFill="1" applyBorder="1" applyAlignment="1" applyProtection="1">
      <alignment horizontal="center" vertical="center" wrapText="1"/>
      <protection hidden="1"/>
    </xf>
    <xf numFmtId="1" fontId="7" fillId="6" borderId="17" xfId="0" applyNumberFormat="1" applyFont="1" applyFill="1" applyBorder="1" applyAlignment="1" applyProtection="1">
      <alignment horizontal="center" vertical="center" wrapText="1"/>
      <protection hidden="1"/>
    </xf>
    <xf numFmtId="174" fontId="53" fillId="6" borderId="21" xfId="0" applyNumberFormat="1" applyFont="1" applyFill="1" applyBorder="1" applyAlignment="1" applyProtection="1">
      <alignment horizontal="center" vertical="center" shrinkToFit="1"/>
      <protection hidden="1"/>
    </xf>
    <xf numFmtId="174" fontId="53" fillId="6" borderId="59" xfId="0" applyNumberFormat="1" applyFont="1" applyFill="1" applyBorder="1" applyAlignment="1" applyProtection="1">
      <alignment horizontal="center" vertical="center" shrinkToFit="1"/>
      <protection hidden="1"/>
    </xf>
    <xf numFmtId="1" fontId="89" fillId="23" borderId="67" xfId="0" applyNumberFormat="1" applyFont="1" applyFill="1" applyBorder="1" applyAlignment="1" applyProtection="1">
      <alignment horizontal="center" vertical="center"/>
      <protection hidden="1"/>
    </xf>
    <xf numFmtId="0" fontId="19" fillId="7" borderId="0" xfId="0" applyFont="1" applyFill="1" applyAlignment="1" applyProtection="1">
      <alignment horizontal="center"/>
      <protection hidden="1"/>
    </xf>
    <xf numFmtId="0" fontId="39" fillId="4" borderId="28" xfId="0" applyFont="1" applyFill="1" applyBorder="1" applyAlignment="1" applyProtection="1">
      <alignment horizontal="center" vertical="center"/>
      <protection hidden="1"/>
    </xf>
    <xf numFmtId="0" fontId="19" fillId="7" borderId="0" xfId="0" applyFont="1" applyFill="1" applyAlignment="1" applyProtection="1">
      <alignment horizontal="center" vertical="center"/>
      <protection hidden="1"/>
    </xf>
    <xf numFmtId="0" fontId="0" fillId="19" borderId="0" xfId="0" applyFill="1" applyBorder="1" applyAlignment="1" applyProtection="1">
      <alignment horizontal="center"/>
      <protection hidden="1"/>
    </xf>
    <xf numFmtId="0" fontId="92" fillId="4" borderId="16" xfId="0" applyFont="1" applyFill="1" applyBorder="1" applyAlignment="1" applyProtection="1">
      <alignment horizontal="center" vertical="center" wrapText="1"/>
      <protection hidden="1"/>
    </xf>
    <xf numFmtId="173" fontId="96" fillId="24" borderId="17" xfId="0" applyNumberFormat="1" applyFont="1" applyFill="1" applyBorder="1" applyAlignment="1" applyProtection="1">
      <alignment horizontal="center" vertical="center"/>
      <protection hidden="1"/>
    </xf>
    <xf numFmtId="0" fontId="98" fillId="0" borderId="9" xfId="0" applyFont="1" applyFill="1" applyBorder="1" applyAlignment="1" applyProtection="1">
      <alignment horizontal="center" vertical="center" wrapText="1"/>
      <protection hidden="1"/>
    </xf>
    <xf numFmtId="1" fontId="82" fillId="4" borderId="74" xfId="0" applyNumberFormat="1" applyFont="1" applyFill="1" applyBorder="1" applyAlignment="1" applyProtection="1">
      <alignment vertical="center"/>
      <protection hidden="1"/>
    </xf>
    <xf numFmtId="165" fontId="65" fillId="0" borderId="0" xfId="0" applyNumberFormat="1" applyFont="1" applyAlignment="1" applyProtection="1">
      <protection hidden="1"/>
    </xf>
    <xf numFmtId="0" fontId="65" fillId="0" borderId="0" xfId="0" applyFont="1" applyAlignment="1" applyProtection="1">
      <protection hidden="1"/>
    </xf>
    <xf numFmtId="1" fontId="88" fillId="6" borderId="14" xfId="0" applyNumberFormat="1" applyFont="1" applyFill="1" applyBorder="1" applyAlignment="1" applyProtection="1">
      <alignment horizontal="center" vertical="center" shrinkToFit="1"/>
      <protection hidden="1"/>
    </xf>
    <xf numFmtId="1" fontId="88" fillId="6" borderId="17" xfId="0" applyNumberFormat="1" applyFont="1" applyFill="1" applyBorder="1" applyAlignment="1" applyProtection="1">
      <alignment horizontal="center" vertical="center" shrinkToFit="1"/>
      <protection hidden="1"/>
    </xf>
    <xf numFmtId="165" fontId="56" fillId="6" borderId="10" xfId="0" applyNumberFormat="1" applyFont="1" applyFill="1" applyBorder="1" applyAlignment="1" applyProtection="1">
      <alignment horizontal="center" vertical="center" wrapText="1" shrinkToFit="1"/>
      <protection hidden="1"/>
    </xf>
    <xf numFmtId="165" fontId="56" fillId="6" borderId="13" xfId="0" applyNumberFormat="1" applyFont="1" applyFill="1" applyBorder="1" applyAlignment="1" applyProtection="1">
      <alignment horizontal="center" vertical="center" wrapText="1" shrinkToFit="1"/>
      <protection hidden="1"/>
    </xf>
    <xf numFmtId="165" fontId="56" fillId="6" borderId="15" xfId="0" applyNumberFormat="1" applyFont="1" applyFill="1" applyBorder="1" applyAlignment="1" applyProtection="1">
      <alignment horizontal="center" vertical="center" wrapText="1" shrinkToFit="1"/>
      <protection hidden="1"/>
    </xf>
    <xf numFmtId="165" fontId="97" fillId="6" borderId="13" xfId="0" applyNumberFormat="1" applyFont="1" applyFill="1" applyBorder="1" applyAlignment="1" applyProtection="1">
      <alignment horizontal="center" vertical="center" wrapText="1" shrinkToFit="1"/>
      <protection hidden="1"/>
    </xf>
    <xf numFmtId="1" fontId="59" fillId="6" borderId="11" xfId="0" applyNumberFormat="1" applyFont="1" applyFill="1" applyBorder="1" applyAlignment="1" applyProtection="1">
      <alignment horizontal="center" vertical="center" wrapText="1" shrinkToFit="1"/>
      <protection locked="0"/>
    </xf>
    <xf numFmtId="1" fontId="59" fillId="6" borderId="9" xfId="0" applyNumberFormat="1" applyFont="1" applyFill="1" applyBorder="1" applyAlignment="1" applyProtection="1">
      <alignment horizontal="center" vertical="center" wrapText="1" shrinkToFit="1"/>
      <protection locked="0"/>
    </xf>
    <xf numFmtId="1" fontId="59" fillId="6" borderId="16" xfId="0" applyNumberFormat="1" applyFont="1" applyFill="1" applyBorder="1" applyAlignment="1" applyProtection="1">
      <alignment horizontal="center" vertical="center" wrapText="1" shrinkToFit="1"/>
      <protection locked="0"/>
    </xf>
    <xf numFmtId="1" fontId="88" fillId="6" borderId="12" xfId="0" applyNumberFormat="1" applyFont="1" applyFill="1" applyBorder="1" applyAlignment="1" applyProtection="1">
      <alignment horizontal="center" vertical="center" shrinkToFit="1"/>
      <protection hidden="1"/>
    </xf>
    <xf numFmtId="1" fontId="88" fillId="6" borderId="11" xfId="0" applyNumberFormat="1" applyFont="1" applyFill="1" applyBorder="1" applyAlignment="1" applyProtection="1">
      <alignment horizontal="center" vertical="center" shrinkToFit="1"/>
      <protection locked="0"/>
    </xf>
    <xf numFmtId="1" fontId="88" fillId="6" borderId="9" xfId="0" applyNumberFormat="1" applyFont="1" applyFill="1" applyBorder="1" applyAlignment="1" applyProtection="1">
      <alignment horizontal="center" vertical="center" shrinkToFit="1"/>
      <protection locked="0"/>
    </xf>
    <xf numFmtId="1" fontId="88" fillId="6" borderId="16" xfId="0" applyNumberFormat="1" applyFont="1" applyFill="1" applyBorder="1" applyAlignment="1" applyProtection="1">
      <alignment horizontal="center" vertical="center" shrinkToFit="1"/>
      <protection locked="0"/>
    </xf>
    <xf numFmtId="0" fontId="56" fillId="0" borderId="24" xfId="0" applyFont="1" applyFill="1" applyBorder="1" applyAlignment="1" applyProtection="1">
      <alignment horizontal="center" vertical="center" wrapText="1"/>
      <protection hidden="1"/>
    </xf>
    <xf numFmtId="2" fontId="86" fillId="6" borderId="9" xfId="0" applyNumberFormat="1" applyFont="1" applyFill="1" applyBorder="1" applyAlignment="1" applyProtection="1">
      <alignment horizontal="center" vertical="center" wrapText="1"/>
      <protection locked="0"/>
    </xf>
    <xf numFmtId="2" fontId="59" fillId="6" borderId="9" xfId="0" applyNumberFormat="1" applyFont="1" applyFill="1" applyBorder="1" applyAlignment="1" applyProtection="1">
      <alignment horizontal="center" vertical="center" wrapText="1"/>
      <protection locked="0"/>
    </xf>
    <xf numFmtId="0" fontId="31" fillId="4" borderId="53" xfId="0" applyFont="1" applyFill="1" applyBorder="1" applyAlignment="1" applyProtection="1">
      <alignment horizontal="center" vertical="center"/>
      <protection hidden="1"/>
    </xf>
    <xf numFmtId="1" fontId="19" fillId="6" borderId="48" xfId="0" applyNumberFormat="1" applyFont="1" applyFill="1" applyBorder="1" applyAlignment="1" applyProtection="1">
      <alignment horizontal="center" vertical="center"/>
      <protection hidden="1"/>
    </xf>
    <xf numFmtId="1" fontId="19" fillId="6" borderId="26" xfId="0" applyNumberFormat="1" applyFont="1" applyFill="1" applyBorder="1" applyAlignment="1" applyProtection="1">
      <alignment horizontal="center" vertical="center"/>
      <protection hidden="1"/>
    </xf>
    <xf numFmtId="1" fontId="19" fillId="6" borderId="49" xfId="0" applyNumberFormat="1" applyFont="1" applyFill="1" applyBorder="1" applyAlignment="1" applyProtection="1">
      <alignment horizontal="center" vertical="center"/>
      <protection hidden="1"/>
    </xf>
    <xf numFmtId="0" fontId="19" fillId="6" borderId="26" xfId="0" applyFont="1" applyFill="1" applyBorder="1" applyAlignment="1" applyProtection="1">
      <alignment horizontal="center" vertical="center"/>
      <protection hidden="1"/>
    </xf>
    <xf numFmtId="0" fontId="19" fillId="6" borderId="49" xfId="0" applyFont="1" applyFill="1" applyBorder="1" applyAlignment="1" applyProtection="1">
      <alignment horizontal="center" vertical="center"/>
      <protection hidden="1"/>
    </xf>
    <xf numFmtId="1" fontId="19" fillId="6" borderId="13" xfId="0" applyNumberFormat="1" applyFont="1" applyFill="1" applyBorder="1" applyAlignment="1" applyProtection="1">
      <alignment horizontal="center" vertical="center"/>
      <protection hidden="1"/>
    </xf>
    <xf numFmtId="1" fontId="19" fillId="6" borderId="9" xfId="0" applyNumberFormat="1" applyFont="1" applyFill="1" applyBorder="1" applyAlignment="1" applyProtection="1">
      <alignment horizontal="center" vertical="center"/>
      <protection hidden="1"/>
    </xf>
    <xf numFmtId="165" fontId="72" fillId="4" borderId="51" xfId="0" applyNumberFormat="1" applyFont="1" applyFill="1" applyBorder="1" applyAlignment="1" applyProtection="1">
      <alignment horizontal="center" vertical="center" wrapText="1"/>
      <protection hidden="1"/>
    </xf>
    <xf numFmtId="0" fontId="31" fillId="4" borderId="43" xfId="0" applyFont="1" applyFill="1" applyBorder="1" applyAlignment="1" applyProtection="1">
      <alignment horizontal="center" vertical="center"/>
      <protection hidden="1"/>
    </xf>
    <xf numFmtId="1" fontId="19" fillId="6" borderId="15" xfId="0" applyNumberFormat="1" applyFont="1" applyFill="1" applyBorder="1" applyAlignment="1" applyProtection="1">
      <alignment horizontal="center" vertical="center"/>
      <protection hidden="1"/>
    </xf>
    <xf numFmtId="1" fontId="19" fillId="6" borderId="16" xfId="0" applyNumberFormat="1" applyFont="1" applyFill="1" applyBorder="1" applyAlignment="1" applyProtection="1">
      <alignment horizontal="center" vertical="center"/>
      <protection hidden="1"/>
    </xf>
    <xf numFmtId="1" fontId="19" fillId="6" borderId="17" xfId="0" applyNumberFormat="1" applyFont="1" applyFill="1" applyBorder="1" applyAlignment="1" applyProtection="1">
      <alignment horizontal="center" vertical="center"/>
      <protection hidden="1"/>
    </xf>
    <xf numFmtId="0" fontId="19" fillId="6" borderId="48" xfId="0" applyFont="1" applyFill="1" applyBorder="1" applyAlignment="1" applyProtection="1">
      <alignment horizontal="center" vertical="center"/>
      <protection locked="0"/>
    </xf>
    <xf numFmtId="0" fontId="19" fillId="6" borderId="26" xfId="0" applyFont="1" applyFill="1" applyBorder="1" applyAlignment="1" applyProtection="1">
      <alignment horizontal="center" vertical="center"/>
      <protection locked="0"/>
    </xf>
    <xf numFmtId="0" fontId="19" fillId="6" borderId="13" xfId="0" applyFont="1" applyFill="1" applyBorder="1" applyAlignment="1" applyProtection="1">
      <alignment horizontal="center" vertical="center"/>
      <protection locked="0"/>
    </xf>
    <xf numFmtId="0" fontId="19" fillId="6" borderId="9" xfId="0" applyFont="1" applyFill="1" applyBorder="1" applyAlignment="1" applyProtection="1">
      <alignment horizontal="center" vertical="center"/>
      <protection locked="0"/>
    </xf>
    <xf numFmtId="0" fontId="19" fillId="6" borderId="15" xfId="0" applyFont="1" applyFill="1" applyBorder="1" applyAlignment="1" applyProtection="1">
      <alignment horizontal="center" vertical="center"/>
      <protection locked="0"/>
    </xf>
    <xf numFmtId="0" fontId="19" fillId="6" borderId="16" xfId="0" applyFont="1" applyFill="1" applyBorder="1" applyAlignment="1" applyProtection="1">
      <alignment horizontal="center" vertical="center"/>
      <protection locked="0"/>
    </xf>
    <xf numFmtId="0" fontId="27" fillId="9" borderId="10" xfId="0" applyFont="1" applyFill="1" applyBorder="1" applyAlignment="1" applyProtection="1">
      <alignment horizontal="center" vertical="center"/>
      <protection hidden="1"/>
    </xf>
    <xf numFmtId="0" fontId="27" fillId="9" borderId="13" xfId="0" applyFont="1" applyFill="1" applyBorder="1" applyAlignment="1" applyProtection="1">
      <alignment horizontal="center" vertical="center"/>
      <protection hidden="1"/>
    </xf>
    <xf numFmtId="0" fontId="27" fillId="9" borderId="15" xfId="0" applyFont="1" applyFill="1" applyBorder="1" applyAlignment="1" applyProtection="1">
      <alignment horizontal="center" vertical="center"/>
      <protection hidden="1"/>
    </xf>
    <xf numFmtId="1" fontId="19" fillId="6" borderId="89" xfId="0" applyNumberFormat="1" applyFont="1" applyFill="1" applyBorder="1" applyAlignment="1" applyProtection="1">
      <alignment horizontal="center" vertical="center"/>
      <protection hidden="1"/>
    </xf>
    <xf numFmtId="0" fontId="93" fillId="6" borderId="26" xfId="0" applyFont="1" applyFill="1" applyBorder="1" applyAlignment="1" applyProtection="1">
      <alignment horizontal="center" vertical="center"/>
      <protection hidden="1"/>
    </xf>
    <xf numFmtId="1" fontId="93" fillId="6" borderId="26" xfId="0" applyNumberFormat="1" applyFont="1" applyFill="1" applyBorder="1" applyAlignment="1" applyProtection="1">
      <alignment horizontal="center" vertical="center"/>
      <protection hidden="1"/>
    </xf>
    <xf numFmtId="1" fontId="19" fillId="6" borderId="24" xfId="0" applyNumberFormat="1" applyFont="1" applyFill="1" applyBorder="1" applyAlignment="1" applyProtection="1">
      <alignment horizontal="center" vertical="center"/>
      <protection hidden="1"/>
    </xf>
    <xf numFmtId="1" fontId="93" fillId="6" borderId="43" xfId="0" applyNumberFormat="1" applyFont="1" applyFill="1" applyBorder="1" applyAlignment="1" applyProtection="1">
      <alignment horizontal="center" vertical="center"/>
      <protection hidden="1"/>
    </xf>
    <xf numFmtId="0" fontId="93" fillId="6" borderId="43" xfId="0" applyFont="1" applyFill="1" applyBorder="1" applyAlignment="1" applyProtection="1">
      <alignment horizontal="center" vertical="center"/>
      <protection hidden="1"/>
    </xf>
    <xf numFmtId="0" fontId="19" fillId="6" borderId="43" xfId="0" applyFont="1" applyFill="1" applyBorder="1" applyAlignment="1" applyProtection="1">
      <alignment horizontal="center" vertical="center"/>
      <protection locked="0"/>
    </xf>
    <xf numFmtId="14" fontId="25" fillId="23" borderId="15" xfId="0" applyNumberFormat="1" applyFont="1" applyFill="1" applyBorder="1" applyAlignment="1" applyProtection="1">
      <alignment horizontal="center" vertical="center"/>
      <protection hidden="1"/>
    </xf>
    <xf numFmtId="14" fontId="25" fillId="23" borderId="20" xfId="0" applyNumberFormat="1" applyFont="1" applyFill="1" applyBorder="1" applyAlignment="1" applyProtection="1">
      <alignment horizontal="center" vertical="center"/>
      <protection hidden="1"/>
    </xf>
    <xf numFmtId="14" fontId="25" fillId="23" borderId="16" xfId="0" applyNumberFormat="1" applyFont="1" applyFill="1" applyBorder="1" applyAlignment="1" applyProtection="1">
      <alignment horizontal="center" vertical="center"/>
      <protection hidden="1"/>
    </xf>
    <xf numFmtId="14" fontId="25" fillId="23" borderId="17" xfId="0" applyNumberFormat="1" applyFont="1" applyFill="1" applyBorder="1" applyAlignment="1" applyProtection="1">
      <alignment horizontal="center" vertical="center"/>
      <protection hidden="1"/>
    </xf>
    <xf numFmtId="0" fontId="119" fillId="23" borderId="66" xfId="0" applyFont="1" applyFill="1" applyBorder="1" applyAlignment="1" applyProtection="1">
      <alignment horizontal="center" vertical="center"/>
      <protection hidden="1"/>
    </xf>
    <xf numFmtId="0" fontId="73" fillId="8" borderId="44" xfId="0" applyFont="1" applyFill="1" applyBorder="1" applyAlignment="1" applyProtection="1">
      <alignment horizontal="center" vertical="center"/>
      <protection hidden="1"/>
    </xf>
    <xf numFmtId="0" fontId="73" fillId="8" borderId="45" xfId="0" applyFont="1" applyFill="1" applyBorder="1" applyAlignment="1" applyProtection="1">
      <alignment horizontal="center" vertical="center"/>
      <protection hidden="1"/>
    </xf>
    <xf numFmtId="0" fontId="72" fillId="4" borderId="10" xfId="0" applyFont="1" applyFill="1" applyBorder="1" applyAlignment="1" applyProtection="1">
      <alignment horizontal="center" vertical="center" wrapText="1"/>
      <protection hidden="1"/>
    </xf>
    <xf numFmtId="0" fontId="72" fillId="4" borderId="13" xfId="0" applyFont="1" applyFill="1" applyBorder="1" applyAlignment="1" applyProtection="1">
      <alignment horizontal="center" vertical="center" wrapText="1"/>
      <protection hidden="1"/>
    </xf>
    <xf numFmtId="0" fontId="72" fillId="4" borderId="15" xfId="0" applyFont="1" applyFill="1" applyBorder="1" applyAlignment="1" applyProtection="1">
      <alignment horizontal="center" vertical="center" wrapText="1"/>
      <protection hidden="1"/>
    </xf>
    <xf numFmtId="0" fontId="92" fillId="4" borderId="11" xfId="0" applyFont="1" applyFill="1" applyBorder="1" applyAlignment="1" applyProtection="1">
      <alignment horizontal="center" vertical="center" wrapText="1"/>
      <protection hidden="1"/>
    </xf>
    <xf numFmtId="0" fontId="92" fillId="4" borderId="9" xfId="0" applyFont="1" applyFill="1" applyBorder="1" applyAlignment="1" applyProtection="1">
      <alignment horizontal="center" vertical="center" wrapText="1"/>
      <protection hidden="1"/>
    </xf>
    <xf numFmtId="0" fontId="72" fillId="4" borderId="16" xfId="0" applyFont="1" applyFill="1" applyBorder="1" applyAlignment="1" applyProtection="1">
      <alignment horizontal="center" vertical="center" wrapText="1"/>
      <protection hidden="1"/>
    </xf>
    <xf numFmtId="0" fontId="73" fillId="4" borderId="15" xfId="0" applyFont="1" applyFill="1" applyBorder="1" applyAlignment="1" applyProtection="1">
      <alignment horizontal="center" vertical="center" wrapText="1"/>
      <protection hidden="1"/>
    </xf>
    <xf numFmtId="0" fontId="73" fillId="4" borderId="16" xfId="0" applyFont="1" applyFill="1" applyBorder="1" applyAlignment="1" applyProtection="1">
      <alignment horizontal="center" vertical="center" wrapText="1"/>
      <protection hidden="1"/>
    </xf>
    <xf numFmtId="0" fontId="37" fillId="4" borderId="16" xfId="0" applyFont="1" applyFill="1" applyBorder="1" applyAlignment="1" applyProtection="1">
      <alignment horizontal="center" vertical="center" wrapText="1"/>
      <protection hidden="1"/>
    </xf>
    <xf numFmtId="0" fontId="72" fillId="4" borderId="42" xfId="0" applyFont="1" applyFill="1" applyBorder="1" applyAlignment="1" applyProtection="1">
      <alignment horizontal="center" vertical="center" wrapText="1"/>
      <protection hidden="1"/>
    </xf>
    <xf numFmtId="0" fontId="72" fillId="4" borderId="17" xfId="0" applyFont="1" applyFill="1" applyBorder="1" applyAlignment="1" applyProtection="1">
      <alignment horizontal="center" vertical="center" wrapText="1"/>
      <protection hidden="1"/>
    </xf>
    <xf numFmtId="0" fontId="73" fillId="4" borderId="20" xfId="0" applyFont="1" applyFill="1" applyBorder="1" applyAlignment="1" applyProtection="1">
      <alignment vertical="center"/>
      <protection hidden="1"/>
    </xf>
    <xf numFmtId="14" fontId="48" fillId="6" borderId="45" xfId="0" applyNumberFormat="1" applyFont="1" applyFill="1" applyBorder="1" applyAlignment="1" applyProtection="1">
      <alignment horizontal="center" vertical="center" wrapText="1"/>
      <protection locked="0"/>
    </xf>
    <xf numFmtId="0" fontId="25" fillId="4" borderId="11" xfId="0" applyFont="1" applyFill="1" applyBorder="1" applyAlignment="1" applyProtection="1">
      <alignment horizontal="center" vertical="center" wrapText="1"/>
      <protection hidden="1"/>
    </xf>
    <xf numFmtId="14" fontId="48" fillId="6" borderId="46" xfId="0" applyNumberFormat="1" applyFont="1" applyFill="1" applyBorder="1" applyAlignment="1" applyProtection="1">
      <alignment horizontal="center" vertical="center" wrapText="1"/>
      <protection locked="0"/>
    </xf>
    <xf numFmtId="0" fontId="25" fillId="4" borderId="9" xfId="0" applyFont="1" applyFill="1" applyBorder="1" applyAlignment="1" applyProtection="1">
      <alignment horizontal="center" vertical="center" wrapText="1"/>
      <protection hidden="1"/>
    </xf>
    <xf numFmtId="14" fontId="48" fillId="6" borderId="45" xfId="0" applyNumberFormat="1" applyFont="1" applyFill="1" applyBorder="1" applyAlignment="1" applyProtection="1">
      <alignment horizontal="center" vertical="center" wrapText="1"/>
      <protection hidden="1"/>
    </xf>
    <xf numFmtId="0" fontId="39" fillId="4" borderId="28" xfId="0" applyFont="1" applyFill="1" applyBorder="1" applyAlignment="1" applyProtection="1">
      <alignment vertical="center"/>
      <protection hidden="1"/>
    </xf>
    <xf numFmtId="0" fontId="3" fillId="7" borderId="0" xfId="0" applyFont="1" applyFill="1" applyProtection="1">
      <protection hidden="1"/>
    </xf>
    <xf numFmtId="0" fontId="48" fillId="7" borderId="0" xfId="0" applyFont="1" applyFill="1" applyAlignment="1" applyProtection="1">
      <alignment horizontal="center" vertical="center"/>
      <protection hidden="1"/>
    </xf>
    <xf numFmtId="0" fontId="3" fillId="7" borderId="0" xfId="0" applyFont="1" applyFill="1" applyBorder="1" applyAlignment="1" applyProtection="1">
      <alignment horizontal="center"/>
      <protection hidden="1"/>
    </xf>
    <xf numFmtId="0" fontId="3" fillId="7" borderId="0" xfId="0" applyFont="1" applyFill="1" applyAlignment="1" applyProtection="1">
      <protection hidden="1"/>
    </xf>
    <xf numFmtId="0" fontId="131" fillId="7" borderId="0" xfId="0" applyFont="1" applyFill="1" applyAlignment="1" applyProtection="1">
      <protection hidden="1"/>
    </xf>
    <xf numFmtId="0" fontId="48" fillId="7" borderId="0" xfId="0" applyFont="1" applyFill="1" applyProtection="1">
      <protection hidden="1"/>
    </xf>
    <xf numFmtId="49" fontId="6" fillId="2" borderId="91" xfId="0" applyNumberFormat="1" applyFont="1" applyFill="1" applyBorder="1" applyAlignment="1" applyProtection="1">
      <alignment vertical="center" wrapText="1"/>
      <protection hidden="1"/>
    </xf>
    <xf numFmtId="0" fontId="8" fillId="0" borderId="91" xfId="0" applyFont="1" applyBorder="1" applyAlignment="1" applyProtection="1">
      <alignment horizontal="center" vertical="center" wrapText="1"/>
      <protection hidden="1"/>
    </xf>
    <xf numFmtId="168" fontId="12" fillId="0" borderId="91" xfId="0" applyNumberFormat="1" applyFont="1" applyBorder="1" applyAlignment="1" applyProtection="1">
      <alignment horizontal="center" vertical="center" wrapText="1"/>
      <protection hidden="1"/>
    </xf>
    <xf numFmtId="172" fontId="4" fillId="0" borderId="91" xfId="0" applyNumberFormat="1" applyFont="1" applyBorder="1" applyAlignment="1" applyProtection="1">
      <alignment horizontal="center" vertical="center" wrapText="1"/>
      <protection hidden="1"/>
    </xf>
    <xf numFmtId="1" fontId="4" fillId="0" borderId="91" xfId="0" applyNumberFormat="1" applyFont="1" applyBorder="1" applyAlignment="1" applyProtection="1">
      <alignment horizontal="center" vertical="center" wrapText="1"/>
      <protection hidden="1"/>
    </xf>
    <xf numFmtId="171" fontId="4" fillId="0" borderId="91" xfId="0" applyNumberFormat="1" applyFont="1" applyBorder="1" applyAlignment="1" applyProtection="1">
      <alignment horizontal="center" vertical="center" wrapText="1"/>
      <protection hidden="1"/>
    </xf>
    <xf numFmtId="0" fontId="14" fillId="2" borderId="91" xfId="0" applyFont="1" applyFill="1" applyBorder="1" applyAlignment="1" applyProtection="1">
      <alignment horizontal="center" vertical="center" wrapText="1"/>
      <protection hidden="1"/>
    </xf>
    <xf numFmtId="0" fontId="1" fillId="21" borderId="91" xfId="0" applyFont="1" applyFill="1" applyBorder="1" applyAlignment="1" applyProtection="1">
      <alignment horizontal="center" vertical="center" wrapText="1"/>
      <protection locked="0"/>
    </xf>
    <xf numFmtId="0" fontId="11" fillId="21" borderId="91" xfId="0" applyFont="1" applyFill="1" applyBorder="1" applyAlignment="1" applyProtection="1">
      <alignment horizontal="center" vertical="center" wrapText="1"/>
      <protection locked="0"/>
    </xf>
    <xf numFmtId="0" fontId="45" fillId="0" borderId="91" xfId="0" applyFont="1" applyBorder="1" applyAlignment="1" applyProtection="1">
      <alignment horizontal="center"/>
      <protection hidden="1"/>
    </xf>
    <xf numFmtId="164" fontId="15" fillId="21" borderId="91" xfId="0" applyNumberFormat="1" applyFont="1" applyFill="1" applyBorder="1" applyAlignment="1" applyProtection="1">
      <alignment horizontal="center"/>
      <protection locked="0"/>
    </xf>
    <xf numFmtId="0" fontId="45" fillId="0" borderId="91" xfId="0" applyFont="1" applyBorder="1" applyAlignment="1" applyProtection="1">
      <alignment horizontal="left" vertical="center"/>
      <protection hidden="1"/>
    </xf>
    <xf numFmtId="0" fontId="45" fillId="0" borderId="91" xfId="0" applyFont="1" applyBorder="1" applyAlignment="1" applyProtection="1">
      <alignment horizontal="right" vertical="center"/>
      <protection hidden="1"/>
    </xf>
    <xf numFmtId="0" fontId="5" fillId="21" borderId="91" xfId="0" applyFont="1" applyFill="1" applyBorder="1" applyAlignment="1" applyProtection="1">
      <alignment horizontal="center"/>
      <protection locked="0"/>
    </xf>
    <xf numFmtId="0" fontId="5" fillId="0" borderId="91" xfId="0" applyFont="1" applyBorder="1" applyAlignment="1" applyProtection="1">
      <alignment horizontal="right"/>
      <protection hidden="1"/>
    </xf>
    <xf numFmtId="0" fontId="5" fillId="0" borderId="91" xfId="0" applyFont="1" applyBorder="1" applyAlignment="1" applyProtection="1">
      <alignment horizontal="left"/>
      <protection hidden="1"/>
    </xf>
    <xf numFmtId="49" fontId="6" fillId="2" borderId="96" xfId="0" applyNumberFormat="1" applyFont="1" applyFill="1" applyBorder="1" applyAlignment="1" applyProtection="1">
      <alignment vertical="top" wrapText="1"/>
      <protection hidden="1"/>
    </xf>
    <xf numFmtId="0" fontId="8" fillId="0" borderId="102" xfId="0" applyFont="1" applyBorder="1" applyAlignment="1" applyProtection="1">
      <alignment horizontal="center" vertical="center" wrapText="1"/>
      <protection hidden="1"/>
    </xf>
    <xf numFmtId="172" fontId="4" fillId="0" borderId="102" xfId="0" applyNumberFormat="1" applyFont="1" applyBorder="1" applyAlignment="1" applyProtection="1">
      <alignment horizontal="center" vertical="center" wrapText="1"/>
      <protection hidden="1"/>
    </xf>
    <xf numFmtId="172" fontId="4" fillId="21" borderId="96" xfId="0" applyNumberFormat="1" applyFont="1" applyFill="1" applyBorder="1" applyAlignment="1" applyProtection="1">
      <alignment horizontal="center" vertical="center" wrapText="1"/>
      <protection locked="0"/>
    </xf>
    <xf numFmtId="0" fontId="14" fillId="2" borderId="101" xfId="0" applyFont="1" applyFill="1" applyBorder="1" applyAlignment="1" applyProtection="1">
      <alignment horizontal="center" vertical="center" wrapText="1"/>
      <protection hidden="1"/>
    </xf>
    <xf numFmtId="0" fontId="1" fillId="21" borderId="96" xfId="0" applyFont="1" applyFill="1" applyBorder="1" applyAlignment="1" applyProtection="1">
      <alignment horizontal="center" vertical="center" wrapText="1"/>
      <protection locked="0"/>
    </xf>
    <xf numFmtId="0" fontId="126" fillId="0" borderId="106" xfId="0" applyFont="1" applyBorder="1" applyAlignment="1" applyProtection="1">
      <alignment horizontal="left"/>
      <protection hidden="1"/>
    </xf>
    <xf numFmtId="177" fontId="96" fillId="24" borderId="14" xfId="0" applyNumberFormat="1" applyFont="1" applyFill="1" applyBorder="1" applyAlignment="1" applyProtection="1">
      <alignment horizontal="center" vertical="center"/>
      <protection hidden="1"/>
    </xf>
    <xf numFmtId="178" fontId="96" fillId="24" borderId="14" xfId="0" applyNumberFormat="1" applyFont="1" applyFill="1" applyBorder="1" applyAlignment="1" applyProtection="1">
      <alignment horizontal="center" vertical="center"/>
      <protection hidden="1"/>
    </xf>
    <xf numFmtId="179" fontId="96" fillId="24" borderId="17" xfId="0" applyNumberFormat="1" applyFont="1" applyFill="1" applyBorder="1" applyAlignment="1" applyProtection="1">
      <alignment horizontal="center" vertical="center"/>
      <protection hidden="1"/>
    </xf>
    <xf numFmtId="173" fontId="56" fillId="24" borderId="12" xfId="0" applyNumberFormat="1" applyFont="1" applyFill="1" applyBorder="1" applyAlignment="1" applyProtection="1">
      <alignment vertical="center"/>
      <protection hidden="1"/>
    </xf>
    <xf numFmtId="0" fontId="132" fillId="20" borderId="10" xfId="0" applyFont="1" applyFill="1" applyBorder="1" applyAlignment="1" applyProtection="1">
      <alignment horizontal="center" vertical="center" wrapText="1"/>
      <protection hidden="1"/>
    </xf>
    <xf numFmtId="170" fontId="132" fillId="20" borderId="11" xfId="0" applyNumberFormat="1" applyFont="1" applyFill="1" applyBorder="1" applyAlignment="1" applyProtection="1">
      <alignment horizontal="center" vertical="center" wrapText="1"/>
      <protection hidden="1"/>
    </xf>
    <xf numFmtId="0" fontId="132" fillId="20" borderId="11" xfId="0" applyFont="1" applyFill="1" applyBorder="1" applyAlignment="1" applyProtection="1">
      <alignment horizontal="center" vertical="center" wrapText="1"/>
      <protection hidden="1"/>
    </xf>
    <xf numFmtId="170" fontId="132" fillId="20" borderId="12" xfId="0" applyNumberFormat="1" applyFont="1" applyFill="1" applyBorder="1" applyAlignment="1" applyProtection="1">
      <alignment horizontal="center" vertical="center" wrapText="1"/>
      <protection hidden="1"/>
    </xf>
    <xf numFmtId="14" fontId="7" fillId="6" borderId="45" xfId="0" applyNumberFormat="1" applyFont="1" applyFill="1" applyBorder="1" applyAlignment="1" applyProtection="1">
      <alignment horizontal="center" vertical="center" wrapText="1"/>
      <protection locked="0"/>
    </xf>
    <xf numFmtId="14" fontId="7" fillId="6" borderId="73" xfId="0" applyNumberFormat="1" applyFont="1" applyFill="1" applyBorder="1" applyAlignment="1" applyProtection="1">
      <alignment horizontal="center" vertical="center" wrapText="1"/>
      <protection locked="0"/>
    </xf>
    <xf numFmtId="14" fontId="4" fillId="6" borderId="45" xfId="0" applyNumberFormat="1" applyFont="1" applyFill="1" applyBorder="1" applyAlignment="1" applyProtection="1">
      <alignment horizontal="center" vertical="center" wrapText="1"/>
      <protection hidden="1"/>
    </xf>
    <xf numFmtId="14" fontId="6" fillId="21" borderId="91" xfId="0" applyNumberFormat="1" applyFont="1" applyFill="1" applyBorder="1" applyAlignment="1" applyProtection="1">
      <alignment horizontal="center" vertical="center" wrapText="1"/>
      <protection locked="0"/>
    </xf>
    <xf numFmtId="0" fontId="120" fillId="16" borderId="44" xfId="0" applyFont="1" applyFill="1" applyBorder="1" applyAlignment="1" applyProtection="1">
      <alignment horizontal="center" vertical="center" wrapText="1"/>
      <protection hidden="1"/>
    </xf>
    <xf numFmtId="0" fontId="68" fillId="16" borderId="45" xfId="0" applyFont="1" applyFill="1" applyBorder="1" applyAlignment="1" applyProtection="1">
      <alignment horizontal="center" vertical="center" wrapText="1"/>
      <protection hidden="1"/>
    </xf>
    <xf numFmtId="0" fontId="120" fillId="16" borderId="46" xfId="0" applyFont="1" applyFill="1" applyBorder="1" applyAlignment="1" applyProtection="1">
      <alignment horizontal="center" vertical="center"/>
      <protection hidden="1"/>
    </xf>
    <xf numFmtId="0" fontId="27" fillId="26" borderId="10" xfId="0" applyFont="1" applyFill="1" applyBorder="1" applyAlignment="1" applyProtection="1">
      <alignment vertical="center"/>
      <protection hidden="1"/>
    </xf>
    <xf numFmtId="0" fontId="21" fillId="26" borderId="15" xfId="0" applyFont="1" applyFill="1" applyBorder="1" applyAlignment="1" applyProtection="1">
      <alignment horizontal="right" vertical="center"/>
      <protection hidden="1"/>
    </xf>
    <xf numFmtId="0" fontId="3" fillId="0" borderId="48" xfId="0" applyFont="1" applyBorder="1" applyAlignment="1" applyProtection="1">
      <alignment vertical="center"/>
      <protection hidden="1"/>
    </xf>
    <xf numFmtId="0" fontId="3" fillId="0" borderId="26" xfId="0" applyFont="1" applyBorder="1" applyAlignment="1" applyProtection="1">
      <alignment horizontal="right" vertical="center"/>
      <protection hidden="1"/>
    </xf>
    <xf numFmtId="0" fontId="45" fillId="0" borderId="48" xfId="0" applyFont="1" applyBorder="1" applyAlignment="1" applyProtection="1">
      <alignment horizontal="center" vertical="center"/>
      <protection hidden="1"/>
    </xf>
    <xf numFmtId="0" fontId="45" fillId="0" borderId="26" xfId="0" applyFont="1" applyBorder="1" applyAlignment="1" applyProtection="1">
      <alignment horizontal="center" vertical="center"/>
      <protection hidden="1"/>
    </xf>
    <xf numFmtId="0" fontId="45" fillId="0" borderId="49"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138" fillId="0" borderId="9"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68" fillId="16" borderId="9" xfId="0" applyFont="1" applyFill="1" applyBorder="1" applyAlignment="1" applyProtection="1">
      <alignment horizontal="center" vertical="center"/>
      <protection hidden="1"/>
    </xf>
    <xf numFmtId="0" fontId="68" fillId="16" borderId="14" xfId="0" applyFont="1" applyFill="1" applyBorder="1" applyAlignment="1" applyProtection="1">
      <alignment horizontal="center" vertical="center"/>
      <protection hidden="1"/>
    </xf>
    <xf numFmtId="0" fontId="3" fillId="0" borderId="64" xfId="0" applyFont="1" applyBorder="1" applyAlignment="1" applyProtection="1">
      <alignment horizontal="center" vertical="center"/>
      <protection hidden="1"/>
    </xf>
    <xf numFmtId="0" fontId="133" fillId="16" borderId="9" xfId="0" applyFont="1" applyFill="1" applyBorder="1" applyAlignment="1" applyProtection="1">
      <alignment horizontal="center"/>
      <protection hidden="1"/>
    </xf>
    <xf numFmtId="0" fontId="133" fillId="16" borderId="14" xfId="0" applyFont="1" applyFill="1" applyBorder="1" applyAlignment="1" applyProtection="1">
      <alignment horizontal="center"/>
      <protection hidden="1"/>
    </xf>
    <xf numFmtId="0" fontId="95" fillId="0" borderId="13" xfId="0" applyFont="1" applyBorder="1" applyAlignment="1" applyProtection="1">
      <alignment horizontal="center" vertical="center"/>
      <protection hidden="1"/>
    </xf>
    <xf numFmtId="0" fontId="98" fillId="6" borderId="9" xfId="0" applyFont="1" applyFill="1" applyBorder="1" applyAlignment="1" applyProtection="1">
      <alignment horizontal="center" vertical="center"/>
      <protection hidden="1"/>
    </xf>
    <xf numFmtId="0" fontId="3" fillId="0" borderId="47" xfId="0" applyFont="1" applyBorder="1" applyAlignment="1" applyProtection="1">
      <alignment horizontal="right" vertical="center"/>
      <protection hidden="1"/>
    </xf>
    <xf numFmtId="0" fontId="95" fillId="25" borderId="15" xfId="0" applyFont="1" applyFill="1" applyBorder="1" applyAlignment="1" applyProtection="1">
      <alignment horizontal="center" vertical="center"/>
      <protection hidden="1"/>
    </xf>
    <xf numFmtId="0" fontId="98" fillId="25" borderId="16" xfId="0" applyFont="1" applyFill="1" applyBorder="1" applyAlignment="1" applyProtection="1">
      <alignment horizontal="center" vertical="center"/>
      <protection hidden="1"/>
    </xf>
    <xf numFmtId="0" fontId="98" fillId="25" borderId="17" xfId="0" applyFont="1" applyFill="1" applyBorder="1" applyAlignment="1" applyProtection="1">
      <alignment horizontal="center" vertical="center"/>
      <protection hidden="1"/>
    </xf>
    <xf numFmtId="0" fontId="96" fillId="26" borderId="13" xfId="0" applyFont="1" applyFill="1" applyBorder="1" applyAlignment="1" applyProtection="1">
      <alignment horizontal="center" vertical="center"/>
      <protection locked="0"/>
    </xf>
    <xf numFmtId="0" fontId="96" fillId="26" borderId="13" xfId="0" applyFont="1" applyFill="1" applyBorder="1" applyAlignment="1" applyProtection="1">
      <alignment horizontal="center"/>
      <protection locked="0"/>
    </xf>
    <xf numFmtId="0" fontId="3" fillId="0" borderId="49" xfId="0" applyFont="1" applyBorder="1" applyAlignment="1" applyProtection="1">
      <alignment vertical="center"/>
      <protection locked="0"/>
    </xf>
    <xf numFmtId="0" fontId="3" fillId="0" borderId="63" xfId="0" applyFont="1" applyBorder="1" applyAlignment="1" applyProtection="1">
      <alignment horizontal="center" vertical="center"/>
      <protection locked="0"/>
    </xf>
    <xf numFmtId="0" fontId="138" fillId="0" borderId="24"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138" fillId="0" borderId="9"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97" fillId="26" borderId="13" xfId="0" applyFont="1" applyFill="1" applyBorder="1" applyAlignment="1" applyProtection="1">
      <alignment horizontal="center" vertical="center"/>
      <protection locked="0"/>
    </xf>
    <xf numFmtId="0" fontId="96" fillId="26" borderId="15" xfId="0" applyFont="1" applyFill="1" applyBorder="1" applyAlignment="1" applyProtection="1">
      <alignment horizontal="center" vertical="center"/>
      <protection locked="0"/>
    </xf>
    <xf numFmtId="172" fontId="3" fillId="0" borderId="14" xfId="0" applyNumberFormat="1" applyFont="1" applyBorder="1" applyAlignment="1" applyProtection="1">
      <alignment horizontal="center" vertical="center"/>
      <protection hidden="1"/>
    </xf>
    <xf numFmtId="172" fontId="3" fillId="0" borderId="64" xfId="0" applyNumberFormat="1" applyFont="1" applyBorder="1" applyAlignment="1" applyProtection="1">
      <alignment horizontal="center" vertical="center"/>
      <protection hidden="1"/>
    </xf>
    <xf numFmtId="0" fontId="72" fillId="4" borderId="23" xfId="0" applyFont="1" applyFill="1" applyBorder="1" applyAlignment="1" applyProtection="1">
      <alignment horizontal="center" vertical="center" wrapText="1"/>
      <protection hidden="1"/>
    </xf>
    <xf numFmtId="0" fontId="3" fillId="7" borderId="0" xfId="0" applyFont="1" applyFill="1" applyBorder="1" applyAlignment="1" applyProtection="1">
      <alignment horizontal="center"/>
      <protection hidden="1"/>
    </xf>
    <xf numFmtId="0" fontId="0" fillId="19" borderId="0" xfId="0" applyFill="1" applyBorder="1" applyAlignment="1" applyProtection="1">
      <alignment horizontal="center"/>
      <protection hidden="1"/>
    </xf>
    <xf numFmtId="1" fontId="53" fillId="24" borderId="91" xfId="0" applyNumberFormat="1" applyFont="1" applyFill="1" applyBorder="1" applyAlignment="1" applyProtection="1">
      <alignment horizontal="center" vertical="center" wrapText="1"/>
      <protection hidden="1"/>
    </xf>
    <xf numFmtId="1" fontId="53" fillId="24" borderId="103" xfId="0" applyNumberFormat="1" applyFont="1" applyFill="1" applyBorder="1" applyAlignment="1" applyProtection="1">
      <alignment horizontal="center" vertical="center" wrapText="1"/>
      <protection hidden="1"/>
    </xf>
    <xf numFmtId="0" fontId="5" fillId="24" borderId="114" xfId="0" applyFont="1" applyFill="1" applyBorder="1" applyAlignment="1" applyProtection="1">
      <alignment horizontal="center" vertical="center" wrapText="1"/>
      <protection hidden="1"/>
    </xf>
    <xf numFmtId="49" fontId="6" fillId="24" borderId="121" xfId="0" applyNumberFormat="1" applyFont="1" applyFill="1" applyBorder="1" applyAlignment="1" applyProtection="1">
      <alignment horizontal="center" vertical="center" wrapText="1"/>
      <protection hidden="1"/>
    </xf>
    <xf numFmtId="1" fontId="48" fillId="3" borderId="138" xfId="0" applyNumberFormat="1" applyFont="1" applyFill="1" applyBorder="1" applyAlignment="1" applyProtection="1">
      <alignment horizontal="center" vertical="center" wrapText="1"/>
      <protection hidden="1"/>
    </xf>
    <xf numFmtId="49" fontId="6" fillId="3" borderId="139" xfId="0" applyNumberFormat="1" applyFont="1" applyFill="1" applyBorder="1" applyAlignment="1" applyProtection="1">
      <alignment horizontal="center" vertical="center" wrapText="1"/>
      <protection hidden="1"/>
    </xf>
    <xf numFmtId="49" fontId="6" fillId="3" borderId="126" xfId="0" applyNumberFormat="1" applyFont="1" applyFill="1" applyBorder="1" applyAlignment="1" applyProtection="1">
      <alignment horizontal="center" vertical="center" wrapText="1"/>
      <protection hidden="1"/>
    </xf>
    <xf numFmtId="1" fontId="48" fillId="3" borderId="128" xfId="0" applyNumberFormat="1" applyFont="1" applyFill="1" applyBorder="1" applyAlignment="1" applyProtection="1">
      <alignment horizontal="center" vertical="center" wrapText="1"/>
      <protection hidden="1"/>
    </xf>
    <xf numFmtId="1" fontId="48" fillId="24" borderId="14" xfId="0" applyNumberFormat="1" applyFont="1" applyFill="1" applyBorder="1" applyAlignment="1" applyProtection="1">
      <alignment horizontal="center" vertical="center" wrapText="1"/>
      <protection locked="0"/>
    </xf>
    <xf numFmtId="1" fontId="48" fillId="24" borderId="19" xfId="0" applyNumberFormat="1" applyFont="1" applyFill="1" applyBorder="1" applyAlignment="1" applyProtection="1">
      <alignment horizontal="center" vertical="center" wrapText="1"/>
      <protection locked="0"/>
    </xf>
    <xf numFmtId="1" fontId="48" fillId="24" borderId="64" xfId="0" applyNumberFormat="1" applyFont="1" applyFill="1" applyBorder="1" applyAlignment="1" applyProtection="1">
      <alignment horizontal="center" vertical="center" wrapText="1"/>
      <protection locked="0"/>
    </xf>
    <xf numFmtId="1" fontId="48" fillId="24" borderId="25" xfId="0" applyNumberFormat="1" applyFont="1" applyFill="1" applyBorder="1" applyAlignment="1" applyProtection="1">
      <alignment horizontal="center" vertical="center" wrapText="1"/>
      <protection locked="0"/>
    </xf>
    <xf numFmtId="1" fontId="2" fillId="3" borderId="13" xfId="0" applyNumberFormat="1" applyFont="1" applyFill="1" applyBorder="1" applyAlignment="1" applyProtection="1">
      <alignment horizontal="center" vertical="center" wrapText="1"/>
      <protection hidden="1"/>
    </xf>
    <xf numFmtId="1" fontId="2" fillId="3" borderId="14" xfId="0" applyNumberFormat="1" applyFont="1" applyFill="1" applyBorder="1" applyAlignment="1" applyProtection="1">
      <alignment horizontal="center" vertical="center" wrapText="1"/>
      <protection hidden="1"/>
    </xf>
    <xf numFmtId="1" fontId="27" fillId="3" borderId="32" xfId="0" applyNumberFormat="1" applyFont="1" applyFill="1" applyBorder="1" applyAlignment="1" applyProtection="1">
      <alignment horizontal="center" vertical="center"/>
      <protection hidden="1"/>
    </xf>
    <xf numFmtId="1" fontId="2" fillId="3" borderId="63" xfId="0" applyNumberFormat="1" applyFont="1" applyFill="1" applyBorder="1" applyAlignment="1" applyProtection="1">
      <alignment horizontal="center" vertical="center" wrapText="1"/>
      <protection hidden="1"/>
    </xf>
    <xf numFmtId="1" fontId="2" fillId="3" borderId="64" xfId="0" applyNumberFormat="1" applyFont="1" applyFill="1" applyBorder="1" applyAlignment="1" applyProtection="1">
      <alignment horizontal="center" vertical="center" wrapText="1"/>
      <protection hidden="1"/>
    </xf>
    <xf numFmtId="1" fontId="27" fillId="3" borderId="81" xfId="0" applyNumberFormat="1" applyFont="1" applyFill="1" applyBorder="1" applyAlignment="1" applyProtection="1">
      <alignment horizontal="center" vertical="center"/>
      <protection hidden="1"/>
    </xf>
    <xf numFmtId="1" fontId="1" fillId="24" borderId="13" xfId="0" applyNumberFormat="1" applyFont="1" applyFill="1" applyBorder="1" applyAlignment="1" applyProtection="1">
      <alignment horizontal="center" vertical="center" wrapText="1"/>
      <protection locked="0"/>
    </xf>
    <xf numFmtId="1" fontId="1" fillId="24" borderId="63" xfId="0" applyNumberFormat="1" applyFont="1" applyFill="1" applyBorder="1" applyAlignment="1" applyProtection="1">
      <alignment horizontal="center" vertical="center" wrapText="1"/>
      <protection locked="0"/>
    </xf>
    <xf numFmtId="1" fontId="1" fillId="24" borderId="22" xfId="0" applyNumberFormat="1" applyFont="1" applyFill="1" applyBorder="1" applyAlignment="1" applyProtection="1">
      <alignment horizontal="center" vertical="center" wrapText="1"/>
      <protection locked="0"/>
    </xf>
    <xf numFmtId="1" fontId="1" fillId="24" borderId="14" xfId="0" applyNumberFormat="1" applyFont="1" applyFill="1" applyBorder="1" applyAlignment="1" applyProtection="1">
      <alignment horizontal="center" vertical="center" wrapText="1"/>
      <protection locked="0"/>
    </xf>
    <xf numFmtId="1" fontId="1" fillId="24" borderId="19" xfId="0" applyNumberFormat="1" applyFont="1" applyFill="1" applyBorder="1" applyAlignment="1" applyProtection="1">
      <alignment horizontal="center" vertical="center" wrapText="1"/>
      <protection locked="0"/>
    </xf>
    <xf numFmtId="1" fontId="1" fillId="24" borderId="51" xfId="0" applyNumberFormat="1" applyFont="1" applyFill="1" applyBorder="1" applyAlignment="1" applyProtection="1">
      <alignment horizontal="center" vertical="center" wrapText="1"/>
      <protection locked="0"/>
    </xf>
    <xf numFmtId="1" fontId="1" fillId="24" borderId="64" xfId="0" applyNumberFormat="1" applyFont="1" applyFill="1" applyBorder="1" applyAlignment="1" applyProtection="1">
      <alignment horizontal="center" vertical="center" wrapText="1"/>
      <protection locked="0"/>
    </xf>
    <xf numFmtId="1" fontId="1" fillId="24" borderId="25" xfId="0" applyNumberFormat="1" applyFont="1" applyFill="1" applyBorder="1" applyAlignment="1" applyProtection="1">
      <alignment horizontal="center" vertical="center" wrapText="1"/>
      <protection locked="0"/>
    </xf>
    <xf numFmtId="1" fontId="1" fillId="24" borderId="48" xfId="0" applyNumberFormat="1" applyFont="1" applyFill="1" applyBorder="1" applyAlignment="1" applyProtection="1">
      <alignment horizontal="center" vertical="center" wrapText="1"/>
      <protection locked="0"/>
    </xf>
    <xf numFmtId="1" fontId="48" fillId="24" borderId="49" xfId="0" applyNumberFormat="1" applyFont="1" applyFill="1" applyBorder="1" applyAlignment="1" applyProtection="1">
      <alignment horizontal="center" vertical="center" wrapText="1"/>
      <protection locked="0"/>
    </xf>
    <xf numFmtId="1" fontId="48" fillId="24" borderId="89" xfId="0" applyNumberFormat="1" applyFont="1" applyFill="1" applyBorder="1" applyAlignment="1" applyProtection="1">
      <alignment horizontal="center" vertical="center" wrapText="1"/>
      <protection locked="0"/>
    </xf>
    <xf numFmtId="1" fontId="1" fillId="24" borderId="53" xfId="0" applyNumberFormat="1" applyFont="1" applyFill="1" applyBorder="1" applyAlignment="1" applyProtection="1">
      <alignment horizontal="center" vertical="center" wrapText="1"/>
      <protection locked="0"/>
    </xf>
    <xf numFmtId="1" fontId="1" fillId="24" borderId="49" xfId="0" applyNumberFormat="1" applyFont="1" applyFill="1" applyBorder="1" applyAlignment="1" applyProtection="1">
      <alignment horizontal="center" vertical="center" wrapText="1"/>
      <protection locked="0"/>
    </xf>
    <xf numFmtId="1" fontId="1" fillId="24" borderId="89" xfId="0" applyNumberFormat="1" applyFont="1" applyFill="1" applyBorder="1" applyAlignment="1" applyProtection="1">
      <alignment horizontal="center" vertical="center" wrapText="1"/>
      <protection locked="0"/>
    </xf>
    <xf numFmtId="1" fontId="2" fillId="3" borderId="48" xfId="0" applyNumberFormat="1" applyFont="1" applyFill="1" applyBorder="1" applyAlignment="1" applyProtection="1">
      <alignment horizontal="center" vertical="center" wrapText="1"/>
      <protection hidden="1"/>
    </xf>
    <xf numFmtId="1" fontId="2" fillId="3" borderId="49" xfId="0" applyNumberFormat="1" applyFont="1" applyFill="1" applyBorder="1" applyAlignment="1" applyProtection="1">
      <alignment horizontal="center" vertical="center" wrapText="1"/>
      <protection hidden="1"/>
    </xf>
    <xf numFmtId="1" fontId="27" fillId="3" borderId="40" xfId="0" applyNumberFormat="1" applyFont="1" applyFill="1" applyBorder="1" applyAlignment="1" applyProtection="1">
      <alignment horizontal="center" vertical="center"/>
      <protection hidden="1"/>
    </xf>
    <xf numFmtId="2" fontId="143" fillId="3" borderId="27" xfId="0" applyNumberFormat="1" applyFont="1" applyFill="1" applyBorder="1" applyAlignment="1" applyProtection="1">
      <alignment horizontal="center" vertical="center" wrapText="1"/>
      <protection hidden="1"/>
    </xf>
    <xf numFmtId="1" fontId="66" fillId="3" borderId="66" xfId="0" applyNumberFormat="1" applyFont="1" applyFill="1" applyBorder="1" applyAlignment="1" applyProtection="1">
      <alignment horizontal="center" vertical="center" wrapText="1"/>
      <protection hidden="1"/>
    </xf>
    <xf numFmtId="1" fontId="66" fillId="3" borderId="68" xfId="0" applyNumberFormat="1" applyFont="1" applyFill="1" applyBorder="1" applyAlignment="1" applyProtection="1">
      <alignment horizontal="center" vertical="center" wrapText="1"/>
      <protection hidden="1"/>
    </xf>
    <xf numFmtId="1" fontId="57" fillId="3" borderId="29" xfId="0" applyNumberFormat="1" applyFont="1" applyFill="1" applyBorder="1" applyAlignment="1" applyProtection="1">
      <alignment horizontal="center" vertical="center"/>
      <protection hidden="1"/>
    </xf>
    <xf numFmtId="49" fontId="95" fillId="3" borderId="27" xfId="0" applyNumberFormat="1" applyFont="1" applyFill="1" applyBorder="1" applyAlignment="1" applyProtection="1">
      <alignment horizontal="center" vertical="center" wrapText="1"/>
      <protection hidden="1"/>
    </xf>
    <xf numFmtId="1" fontId="88" fillId="3" borderId="66" xfId="0" applyNumberFormat="1" applyFont="1" applyFill="1" applyBorder="1" applyAlignment="1" applyProtection="1">
      <alignment horizontal="center" vertical="center"/>
      <protection hidden="1"/>
    </xf>
    <xf numFmtId="1" fontId="88" fillId="3" borderId="68" xfId="0" applyNumberFormat="1" applyFont="1" applyFill="1" applyBorder="1" applyAlignment="1" applyProtection="1">
      <alignment horizontal="center" vertical="center" wrapText="1"/>
      <protection hidden="1"/>
    </xf>
    <xf numFmtId="0" fontId="88" fillId="3" borderId="80" xfId="0" applyNumberFormat="1" applyFont="1" applyFill="1" applyBorder="1" applyAlignment="1" applyProtection="1">
      <alignment horizontal="center" vertical="center" wrapText="1"/>
      <protection hidden="1"/>
    </xf>
    <xf numFmtId="0" fontId="88" fillId="3" borderId="74" xfId="0" applyFont="1" applyFill="1" applyBorder="1" applyAlignment="1" applyProtection="1">
      <alignment horizontal="center" vertical="center" wrapText="1"/>
      <protection hidden="1"/>
    </xf>
    <xf numFmtId="0" fontId="88" fillId="3" borderId="66" xfId="0" applyFont="1" applyFill="1" applyBorder="1" applyAlignment="1" applyProtection="1">
      <alignment horizontal="center" vertical="center" wrapText="1"/>
      <protection hidden="1"/>
    </xf>
    <xf numFmtId="0" fontId="88" fillId="3" borderId="68" xfId="0" applyFont="1" applyFill="1" applyBorder="1" applyAlignment="1" applyProtection="1">
      <alignment horizontal="center" vertical="center" wrapText="1"/>
      <protection hidden="1"/>
    </xf>
    <xf numFmtId="1" fontId="88" fillId="3" borderId="80" xfId="0" applyNumberFormat="1" applyFont="1" applyFill="1" applyBorder="1" applyAlignment="1" applyProtection="1">
      <alignment horizontal="center" vertical="center" wrapText="1"/>
      <protection hidden="1"/>
    </xf>
    <xf numFmtId="0" fontId="88" fillId="3" borderId="74" xfId="0" applyNumberFormat="1" applyFont="1" applyFill="1" applyBorder="1" applyAlignment="1" applyProtection="1">
      <alignment horizontal="center" vertical="center" wrapText="1"/>
      <protection hidden="1"/>
    </xf>
    <xf numFmtId="0" fontId="88" fillId="3" borderId="66" xfId="0" applyNumberFormat="1" applyFont="1" applyFill="1" applyBorder="1" applyAlignment="1" applyProtection="1">
      <alignment horizontal="center" vertical="center" wrapText="1"/>
      <protection hidden="1"/>
    </xf>
    <xf numFmtId="0" fontId="88" fillId="3" borderId="68" xfId="0" applyNumberFormat="1" applyFont="1" applyFill="1" applyBorder="1" applyAlignment="1" applyProtection="1">
      <alignment horizontal="center" vertical="center" wrapText="1"/>
      <protection hidden="1"/>
    </xf>
    <xf numFmtId="1" fontId="59" fillId="3" borderId="29" xfId="0" applyNumberFormat="1" applyFont="1" applyFill="1" applyBorder="1" applyAlignment="1" applyProtection="1">
      <alignment horizontal="center" vertical="center"/>
      <protection hidden="1"/>
    </xf>
    <xf numFmtId="1" fontId="140" fillId="3" borderId="66" xfId="0" applyNumberFormat="1" applyFont="1" applyFill="1" applyBorder="1" applyAlignment="1" applyProtection="1">
      <alignment horizontal="center" vertical="center" wrapText="1"/>
      <protection hidden="1"/>
    </xf>
    <xf numFmtId="1" fontId="140" fillId="3" borderId="68" xfId="0" applyNumberFormat="1" applyFont="1" applyFill="1" applyBorder="1" applyAlignment="1" applyProtection="1">
      <alignment horizontal="center" vertical="center" wrapText="1"/>
      <protection hidden="1"/>
    </xf>
    <xf numFmtId="1" fontId="140" fillId="3" borderId="80" xfId="0" applyNumberFormat="1" applyFont="1" applyFill="1" applyBorder="1" applyAlignment="1" applyProtection="1">
      <alignment horizontal="center" vertical="center" wrapText="1"/>
      <protection hidden="1"/>
    </xf>
    <xf numFmtId="1" fontId="140" fillId="3" borderId="74" xfId="0" applyNumberFormat="1" applyFont="1" applyFill="1" applyBorder="1" applyAlignment="1" applyProtection="1">
      <alignment horizontal="center" vertical="center" wrapText="1"/>
      <protection hidden="1"/>
    </xf>
    <xf numFmtId="2" fontId="6" fillId="3" borderId="41" xfId="0" applyNumberFormat="1" applyFont="1" applyFill="1" applyBorder="1" applyAlignment="1" applyProtection="1">
      <alignment horizontal="center" vertical="center" wrapText="1"/>
      <protection hidden="1"/>
    </xf>
    <xf numFmtId="2" fontId="6" fillId="3" borderId="90" xfId="0" applyNumberFormat="1" applyFont="1" applyFill="1" applyBorder="1" applyAlignment="1" applyProtection="1">
      <alignment horizontal="center" vertical="center" wrapText="1"/>
      <protection hidden="1"/>
    </xf>
    <xf numFmtId="2" fontId="6" fillId="3" borderId="86" xfId="0" applyNumberFormat="1" applyFont="1" applyFill="1" applyBorder="1" applyAlignment="1" applyProtection="1">
      <alignment horizontal="center" vertical="center" wrapText="1"/>
      <protection hidden="1"/>
    </xf>
    <xf numFmtId="49" fontId="6" fillId="24" borderId="140" xfId="0" applyNumberFormat="1" applyFont="1" applyFill="1" applyBorder="1" applyAlignment="1" applyProtection="1">
      <alignment horizontal="center" vertical="center" wrapText="1"/>
      <protection hidden="1"/>
    </xf>
    <xf numFmtId="1" fontId="48" fillId="24" borderId="123" xfId="0" applyNumberFormat="1" applyFont="1" applyFill="1" applyBorder="1" applyAlignment="1" applyProtection="1">
      <alignment horizontal="center" vertical="center" wrapText="1"/>
      <protection hidden="1"/>
    </xf>
    <xf numFmtId="0" fontId="6" fillId="24" borderId="136" xfId="0" applyFont="1" applyFill="1" applyBorder="1" applyAlignment="1" applyProtection="1">
      <alignment horizontal="center" vertical="center" wrapText="1"/>
      <protection hidden="1"/>
    </xf>
    <xf numFmtId="0" fontId="2" fillId="24" borderId="136" xfId="0" applyNumberFormat="1" applyFont="1" applyFill="1" applyBorder="1" applyAlignment="1" applyProtection="1">
      <alignment horizontal="center" vertical="center" wrapText="1"/>
      <protection hidden="1"/>
    </xf>
    <xf numFmtId="1" fontId="48" fillId="24" borderId="142" xfId="0" applyNumberFormat="1" applyFont="1" applyFill="1" applyBorder="1" applyAlignment="1" applyProtection="1">
      <alignment horizontal="center" vertical="center" wrapText="1"/>
      <protection hidden="1"/>
    </xf>
    <xf numFmtId="49" fontId="6" fillId="24" borderId="145" xfId="0" applyNumberFormat="1" applyFont="1" applyFill="1" applyBorder="1" applyAlignment="1" applyProtection="1">
      <alignment horizontal="center" vertical="center" wrapText="1"/>
      <protection hidden="1"/>
    </xf>
    <xf numFmtId="49" fontId="6" fillId="24" borderId="137" xfId="0" applyNumberFormat="1" applyFont="1" applyFill="1" applyBorder="1" applyAlignment="1" applyProtection="1">
      <alignment horizontal="center" vertical="center" wrapText="1"/>
      <protection hidden="1"/>
    </xf>
    <xf numFmtId="1" fontId="7" fillId="24" borderId="125" xfId="0" applyNumberFormat="1" applyFont="1" applyFill="1" applyBorder="1" applyAlignment="1" applyProtection="1">
      <alignment horizontal="center" vertical="center" wrapText="1"/>
      <protection hidden="1"/>
    </xf>
    <xf numFmtId="1" fontId="7" fillId="24" borderId="141" xfId="0" applyNumberFormat="1" applyFont="1" applyFill="1" applyBorder="1" applyAlignment="1" applyProtection="1">
      <alignment horizontal="center" vertical="center" wrapText="1"/>
      <protection hidden="1"/>
    </xf>
    <xf numFmtId="1" fontId="4" fillId="24" borderId="143" xfId="0" applyNumberFormat="1" applyFont="1" applyFill="1" applyBorder="1" applyAlignment="1" applyProtection="1">
      <alignment horizontal="center" vertical="center" wrapText="1"/>
      <protection hidden="1"/>
    </xf>
    <xf numFmtId="1" fontId="4" fillId="24" borderId="124" xfId="0" applyNumberFormat="1" applyFont="1" applyFill="1" applyBorder="1" applyAlignment="1" applyProtection="1">
      <alignment horizontal="center" vertical="center" wrapText="1"/>
      <protection hidden="1"/>
    </xf>
    <xf numFmtId="1" fontId="4" fillId="24" borderId="125" xfId="0" applyNumberFormat="1" applyFont="1" applyFill="1" applyBorder="1" applyAlignment="1" applyProtection="1">
      <alignment horizontal="center" vertical="center" wrapText="1"/>
      <protection hidden="1"/>
    </xf>
    <xf numFmtId="1" fontId="4" fillId="24" borderId="141" xfId="0" applyNumberFormat="1" applyFont="1" applyFill="1" applyBorder="1" applyAlignment="1" applyProtection="1">
      <alignment horizontal="center" vertical="center" wrapText="1"/>
      <protection hidden="1"/>
    </xf>
    <xf numFmtId="1" fontId="7" fillId="24" borderId="128" xfId="0" applyNumberFormat="1" applyFont="1" applyFill="1" applyBorder="1" applyAlignment="1" applyProtection="1">
      <alignment horizontal="center" vertical="center" wrapText="1"/>
      <protection hidden="1"/>
    </xf>
    <xf numFmtId="1" fontId="7" fillId="24" borderId="139" xfId="0" applyNumberFormat="1" applyFont="1" applyFill="1" applyBorder="1" applyAlignment="1" applyProtection="1">
      <alignment horizontal="center" vertical="center" wrapText="1"/>
      <protection hidden="1"/>
    </xf>
    <xf numFmtId="1" fontId="4" fillId="24" borderId="138" xfId="0" applyNumberFormat="1" applyFont="1" applyFill="1" applyBorder="1" applyAlignment="1" applyProtection="1">
      <alignment horizontal="center" vertical="center" wrapText="1"/>
      <protection hidden="1"/>
    </xf>
    <xf numFmtId="1" fontId="4" fillId="24" borderId="126" xfId="0" applyNumberFormat="1" applyFont="1" applyFill="1" applyBorder="1" applyAlignment="1" applyProtection="1">
      <alignment horizontal="center" vertical="center" wrapText="1"/>
      <protection hidden="1"/>
    </xf>
    <xf numFmtId="1" fontId="4" fillId="24" borderId="128" xfId="0" applyNumberFormat="1" applyFont="1" applyFill="1" applyBorder="1" applyAlignment="1" applyProtection="1">
      <alignment horizontal="center" vertical="center" wrapText="1"/>
      <protection hidden="1"/>
    </xf>
    <xf numFmtId="1" fontId="4" fillId="24" borderId="139" xfId="0" applyNumberFormat="1" applyFont="1" applyFill="1" applyBorder="1" applyAlignment="1" applyProtection="1">
      <alignment horizontal="center" vertical="center" wrapText="1"/>
      <protection hidden="1"/>
    </xf>
    <xf numFmtId="1" fontId="48" fillId="24" borderId="146" xfId="0" applyNumberFormat="1" applyFont="1" applyFill="1" applyBorder="1" applyAlignment="1" applyProtection="1">
      <alignment horizontal="center" vertical="center"/>
      <protection hidden="1"/>
    </xf>
    <xf numFmtId="1" fontId="48" fillId="24" borderId="147" xfId="0" applyNumberFormat="1" applyFont="1" applyFill="1" applyBorder="1" applyAlignment="1" applyProtection="1">
      <alignment horizontal="center" vertical="center"/>
      <protection hidden="1"/>
    </xf>
    <xf numFmtId="49" fontId="95" fillId="24" borderId="27" xfId="0" applyNumberFormat="1" applyFont="1" applyFill="1" applyBorder="1" applyAlignment="1" applyProtection="1">
      <alignment horizontal="center" vertical="center" wrapText="1"/>
      <protection hidden="1"/>
    </xf>
    <xf numFmtId="1" fontId="95" fillId="24" borderId="148" xfId="0" applyNumberFormat="1" applyFont="1" applyFill="1" applyBorder="1" applyAlignment="1" applyProtection="1">
      <alignment horizontal="center" vertical="center" wrapText="1"/>
      <protection hidden="1"/>
    </xf>
    <xf numFmtId="1" fontId="56" fillId="24" borderId="136" xfId="0" applyNumberFormat="1" applyFont="1" applyFill="1" applyBorder="1" applyAlignment="1" applyProtection="1">
      <alignment horizontal="center" vertical="center" wrapText="1"/>
      <protection hidden="1"/>
    </xf>
    <xf numFmtId="1" fontId="56" fillId="24" borderId="135" xfId="0" applyNumberFormat="1" applyFont="1" applyFill="1" applyBorder="1" applyAlignment="1" applyProtection="1">
      <alignment horizontal="center" vertical="center" wrapText="1"/>
      <protection hidden="1"/>
    </xf>
    <xf numFmtId="1" fontId="56" fillId="24" borderId="149" xfId="0" applyNumberFormat="1" applyFont="1" applyFill="1" applyBorder="1" applyAlignment="1" applyProtection="1">
      <alignment horizontal="center" vertical="center" wrapText="1"/>
      <protection hidden="1"/>
    </xf>
    <xf numFmtId="1" fontId="56" fillId="24" borderId="148" xfId="0" applyNumberFormat="1" applyFont="1" applyFill="1" applyBorder="1" applyAlignment="1" applyProtection="1">
      <alignment horizontal="center" vertical="center" wrapText="1"/>
      <protection hidden="1"/>
    </xf>
    <xf numFmtId="1" fontId="95" fillId="24" borderId="29" xfId="0" applyNumberFormat="1" applyFont="1" applyFill="1" applyBorder="1" applyAlignment="1" applyProtection="1">
      <alignment horizontal="center" vertical="center"/>
      <protection hidden="1"/>
    </xf>
    <xf numFmtId="0" fontId="5" fillId="24" borderId="127" xfId="0" applyFont="1" applyFill="1" applyBorder="1" applyAlignment="1" applyProtection="1">
      <alignment horizontal="center" wrapText="1"/>
      <protection hidden="1"/>
    </xf>
    <xf numFmtId="170" fontId="3" fillId="24" borderId="91" xfId="0" applyNumberFormat="1" applyFont="1" applyFill="1" applyBorder="1" applyAlignment="1" applyProtection="1">
      <alignment horizontal="center" vertical="center" wrapText="1"/>
      <protection hidden="1"/>
    </xf>
    <xf numFmtId="170" fontId="3" fillId="24" borderId="150" xfId="0" applyNumberFormat="1" applyFont="1" applyFill="1" applyBorder="1" applyAlignment="1" applyProtection="1">
      <alignment horizontal="center" vertical="center" wrapText="1"/>
      <protection hidden="1"/>
    </xf>
    <xf numFmtId="170" fontId="3" fillId="24" borderId="151" xfId="0" applyNumberFormat="1" applyFont="1" applyFill="1" applyBorder="1" applyAlignment="1" applyProtection="1">
      <alignment horizontal="center" vertical="center" wrapText="1"/>
      <protection hidden="1"/>
    </xf>
    <xf numFmtId="1" fontId="53" fillId="24" borderId="151" xfId="0" applyNumberFormat="1" applyFont="1" applyFill="1" applyBorder="1" applyAlignment="1" applyProtection="1">
      <alignment horizontal="center" vertical="center" wrapText="1"/>
      <protection hidden="1"/>
    </xf>
    <xf numFmtId="170" fontId="3" fillId="24" borderId="153" xfId="0" applyNumberFormat="1" applyFont="1" applyFill="1" applyBorder="1" applyAlignment="1" applyProtection="1">
      <alignment horizontal="center" vertical="center" wrapText="1"/>
      <protection hidden="1"/>
    </xf>
    <xf numFmtId="1" fontId="21" fillId="24" borderId="156" xfId="0" applyNumberFormat="1" applyFont="1" applyFill="1" applyBorder="1" applyAlignment="1" applyProtection="1">
      <alignment horizontal="center" vertical="center"/>
      <protection hidden="1"/>
    </xf>
    <xf numFmtId="170" fontId="3" fillId="24" borderId="158" xfId="0" applyNumberFormat="1" applyFont="1" applyFill="1" applyBorder="1" applyAlignment="1" applyProtection="1">
      <alignment horizontal="center" vertical="center" wrapText="1"/>
      <protection hidden="1"/>
    </xf>
    <xf numFmtId="170" fontId="3" fillId="24" borderId="103" xfId="0" applyNumberFormat="1" applyFont="1" applyFill="1" applyBorder="1" applyAlignment="1" applyProtection="1">
      <alignment horizontal="center" vertical="center" wrapText="1"/>
      <protection hidden="1"/>
    </xf>
    <xf numFmtId="1" fontId="21" fillId="24" borderId="151" xfId="0" applyNumberFormat="1" applyFont="1" applyFill="1" applyBorder="1" applyAlignment="1" applyProtection="1">
      <alignment horizontal="center" vertical="center"/>
      <protection hidden="1"/>
    </xf>
    <xf numFmtId="0" fontId="93" fillId="6" borderId="53" xfId="0" applyFont="1" applyFill="1" applyBorder="1" applyAlignment="1" applyProtection="1">
      <alignment horizontal="center" vertical="center"/>
      <protection hidden="1"/>
    </xf>
    <xf numFmtId="0" fontId="72" fillId="4" borderId="115" xfId="0" applyFont="1" applyFill="1" applyBorder="1" applyAlignment="1" applyProtection="1">
      <alignment horizontal="left" vertical="center" wrapText="1" indent="1"/>
      <protection hidden="1"/>
    </xf>
    <xf numFmtId="0" fontId="72" fillId="4" borderId="27" xfId="0" applyFont="1" applyFill="1" applyBorder="1" applyAlignment="1" applyProtection="1">
      <alignment horizontal="left" vertical="center" wrapText="1" indent="1"/>
      <protection hidden="1"/>
    </xf>
    <xf numFmtId="0" fontId="72" fillId="4" borderId="66" xfId="0" applyFont="1" applyFill="1" applyBorder="1" applyAlignment="1" applyProtection="1">
      <alignment horizontal="left" vertical="center" wrapText="1" indent="1"/>
      <protection hidden="1"/>
    </xf>
    <xf numFmtId="0" fontId="72" fillId="4" borderId="74" xfId="0" applyFont="1" applyFill="1" applyBorder="1" applyAlignment="1" applyProtection="1">
      <alignment horizontal="left" vertical="center" wrapText="1" indent="1"/>
      <protection hidden="1"/>
    </xf>
    <xf numFmtId="0" fontId="72" fillId="4" borderId="68" xfId="0" applyFont="1" applyFill="1" applyBorder="1" applyAlignment="1" applyProtection="1">
      <alignment horizontal="left" vertical="center" wrapText="1" indent="1"/>
      <protection hidden="1"/>
    </xf>
    <xf numFmtId="0" fontId="72" fillId="4" borderId="21" xfId="0" applyFont="1" applyFill="1" applyBorder="1" applyAlignment="1" applyProtection="1">
      <alignment horizontal="center" vertical="center" wrapText="1"/>
      <protection hidden="1"/>
    </xf>
    <xf numFmtId="0" fontId="72" fillId="4" borderId="77" xfId="0" applyFont="1" applyFill="1" applyBorder="1" applyAlignment="1" applyProtection="1">
      <alignment horizontal="center" vertical="center" wrapText="1"/>
      <protection hidden="1"/>
    </xf>
    <xf numFmtId="0" fontId="72" fillId="4" borderId="53" xfId="0" applyFont="1" applyFill="1" applyBorder="1" applyAlignment="1" applyProtection="1">
      <alignment horizontal="center" vertical="center" wrapText="1"/>
      <protection hidden="1"/>
    </xf>
    <xf numFmtId="0" fontId="0" fillId="19" borderId="0" xfId="0" applyFill="1" applyBorder="1" applyAlignment="1" applyProtection="1">
      <alignment horizontal="center"/>
      <protection hidden="1"/>
    </xf>
    <xf numFmtId="0" fontId="11" fillId="2" borderId="91" xfId="0" applyFont="1" applyFill="1" applyBorder="1" applyAlignment="1" applyProtection="1">
      <alignment horizontal="center" vertical="center" wrapText="1"/>
      <protection hidden="1"/>
    </xf>
    <xf numFmtId="0" fontId="14" fillId="2" borderId="91" xfId="0" applyFont="1" applyFill="1" applyBorder="1" applyAlignment="1" applyProtection="1">
      <alignment horizontal="center" vertical="center" wrapText="1"/>
      <protection hidden="1"/>
    </xf>
    <xf numFmtId="0" fontId="56" fillId="0" borderId="24" xfId="0" applyFont="1" applyFill="1" applyBorder="1" applyAlignment="1" applyProtection="1">
      <alignment horizontal="center" vertical="center" wrapText="1"/>
      <protection hidden="1"/>
    </xf>
    <xf numFmtId="165" fontId="96" fillId="24" borderId="58" xfId="0" applyNumberFormat="1" applyFont="1" applyFill="1" applyBorder="1" applyAlignment="1" applyProtection="1">
      <alignment horizontal="center" vertical="center" wrapText="1"/>
      <protection locked="0"/>
    </xf>
    <xf numFmtId="165" fontId="96" fillId="24" borderId="11" xfId="0" applyNumberFormat="1" applyFont="1" applyFill="1" applyBorder="1" applyAlignment="1" applyProtection="1">
      <alignment horizontal="center" vertical="center" wrapText="1"/>
      <protection locked="0"/>
    </xf>
    <xf numFmtId="0" fontId="0" fillId="19" borderId="0" xfId="0" applyFill="1" applyBorder="1" applyAlignment="1" applyProtection="1">
      <alignment horizontal="center" vertical="center"/>
      <protection hidden="1"/>
    </xf>
    <xf numFmtId="0" fontId="6" fillId="2" borderId="91" xfId="0" applyFont="1" applyFill="1" applyBorder="1" applyAlignment="1" applyProtection="1">
      <alignment horizontal="center" vertical="center" wrapText="1"/>
      <protection hidden="1"/>
    </xf>
    <xf numFmtId="0" fontId="6" fillId="2" borderId="167" xfId="0" applyFont="1" applyFill="1" applyBorder="1" applyAlignment="1" applyProtection="1">
      <alignment horizontal="center" vertical="center" wrapText="1"/>
      <protection hidden="1"/>
    </xf>
    <xf numFmtId="0" fontId="11" fillId="2" borderId="150" xfId="0" applyFont="1" applyFill="1" applyBorder="1" applyAlignment="1" applyProtection="1">
      <alignment horizontal="center" vertical="center" wrapText="1"/>
      <protection hidden="1"/>
    </xf>
    <xf numFmtId="0" fontId="11" fillId="2" borderId="153" xfId="0" applyFont="1" applyFill="1" applyBorder="1" applyAlignment="1" applyProtection="1">
      <alignment horizontal="center" vertical="center" wrapText="1"/>
      <protection hidden="1"/>
    </xf>
    <xf numFmtId="0" fontId="11" fillId="2" borderId="155" xfId="0" applyFont="1" applyFill="1" applyBorder="1" applyAlignment="1" applyProtection="1">
      <alignment horizontal="center" vertical="center" wrapText="1"/>
      <protection hidden="1"/>
    </xf>
    <xf numFmtId="0" fontId="14" fillId="2" borderId="156" xfId="0" applyFont="1" applyFill="1" applyBorder="1" applyAlignment="1" applyProtection="1">
      <alignment horizontal="center" vertical="center" wrapText="1"/>
      <protection hidden="1"/>
    </xf>
    <xf numFmtId="0" fontId="11" fillId="2" borderId="158" xfId="0" applyFont="1" applyFill="1" applyBorder="1" applyAlignment="1" applyProtection="1">
      <alignment horizontal="center" vertical="center" wrapText="1"/>
      <protection hidden="1"/>
    </xf>
    <xf numFmtId="0" fontId="11" fillId="2" borderId="103" xfId="0" applyFont="1" applyFill="1" applyBorder="1" applyAlignment="1" applyProtection="1">
      <alignment horizontal="center" vertical="center" wrapText="1"/>
      <protection hidden="1"/>
    </xf>
    <xf numFmtId="0" fontId="4" fillId="2" borderId="151" xfId="0" applyFont="1" applyFill="1" applyBorder="1" applyAlignment="1" applyProtection="1">
      <alignment horizontal="center" vertical="center" wrapText="1"/>
      <protection hidden="1"/>
    </xf>
    <xf numFmtId="0" fontId="4" fillId="2" borderId="156" xfId="0" applyFont="1" applyFill="1" applyBorder="1" applyAlignment="1" applyProtection="1">
      <alignment horizontal="center" vertical="center" wrapText="1"/>
      <protection hidden="1"/>
    </xf>
    <xf numFmtId="0" fontId="14" fillId="2" borderId="151" xfId="0" applyFont="1" applyFill="1" applyBorder="1" applyAlignment="1" applyProtection="1">
      <alignment horizontal="center" vertical="center" wrapText="1"/>
      <protection hidden="1"/>
    </xf>
    <xf numFmtId="0" fontId="48" fillId="7" borderId="0" xfId="0" applyFont="1" applyFill="1" applyAlignment="1" applyProtection="1">
      <alignment horizontal="center"/>
      <protection hidden="1"/>
    </xf>
    <xf numFmtId="0" fontId="9" fillId="2" borderId="183" xfId="0" applyFont="1" applyFill="1" applyBorder="1" applyAlignment="1" applyProtection="1">
      <alignment horizontal="center" vertical="center" wrapText="1"/>
      <protection hidden="1"/>
    </xf>
    <xf numFmtId="0" fontId="44" fillId="2" borderId="183" xfId="0" applyFont="1" applyFill="1" applyBorder="1" applyAlignment="1" applyProtection="1">
      <alignment horizontal="center" vertical="center" wrapText="1"/>
      <protection hidden="1"/>
    </xf>
    <xf numFmtId="0" fontId="14" fillId="2" borderId="183" xfId="0" applyFont="1" applyFill="1" applyBorder="1" applyAlignment="1" applyProtection="1">
      <alignment horizontal="center" vertical="center" wrapText="1"/>
      <protection hidden="1"/>
    </xf>
    <xf numFmtId="0" fontId="11" fillId="2" borderId="187" xfId="0" applyFont="1" applyFill="1" applyBorder="1" applyAlignment="1" applyProtection="1">
      <alignment horizontal="center" vertical="center" wrapText="1"/>
      <protection hidden="1"/>
    </xf>
    <xf numFmtId="0" fontId="11" fillId="2" borderId="167" xfId="0" applyFont="1" applyFill="1" applyBorder="1" applyAlignment="1" applyProtection="1">
      <alignment horizontal="center" vertical="center" wrapText="1"/>
      <protection hidden="1"/>
    </xf>
    <xf numFmtId="14" fontId="11" fillId="2" borderId="189" xfId="0" applyNumberFormat="1" applyFont="1" applyFill="1" applyBorder="1" applyAlignment="1" applyProtection="1">
      <alignment horizontal="center" vertical="center" wrapText="1"/>
      <protection hidden="1"/>
    </xf>
    <xf numFmtId="14" fontId="14" fillId="2" borderId="189" xfId="0" applyNumberFormat="1" applyFont="1" applyFill="1" applyBorder="1" applyAlignment="1" applyProtection="1">
      <alignment horizontal="center" vertical="center" wrapText="1"/>
      <protection hidden="1"/>
    </xf>
    <xf numFmtId="0" fontId="8" fillId="2" borderId="195" xfId="0" applyFont="1" applyFill="1" applyBorder="1" applyAlignment="1" applyProtection="1">
      <alignment horizontal="center" vertical="center" wrapText="1"/>
      <protection hidden="1"/>
    </xf>
    <xf numFmtId="0" fontId="8" fillId="2" borderId="175" xfId="0" applyFont="1" applyFill="1" applyBorder="1" applyAlignment="1" applyProtection="1">
      <alignment horizontal="center" vertical="center" wrapText="1"/>
      <protection hidden="1"/>
    </xf>
    <xf numFmtId="0" fontId="90" fillId="31" borderId="10" xfId="0" applyFont="1" applyFill="1" applyBorder="1" applyAlignment="1" applyProtection="1">
      <alignment horizontal="center" vertical="center"/>
      <protection hidden="1"/>
    </xf>
    <xf numFmtId="1" fontId="80" fillId="31" borderId="12" xfId="0" applyNumberFormat="1" applyFont="1" applyFill="1" applyBorder="1" applyAlignment="1" applyProtection="1">
      <alignment horizontal="center" vertical="center"/>
      <protection hidden="1"/>
    </xf>
    <xf numFmtId="0" fontId="90" fillId="31" borderId="13" xfId="0" applyFont="1" applyFill="1" applyBorder="1" applyAlignment="1" applyProtection="1">
      <alignment horizontal="center" vertical="center"/>
      <protection hidden="1"/>
    </xf>
    <xf numFmtId="1" fontId="80" fillId="31" borderId="14" xfId="0" applyNumberFormat="1" applyFont="1" applyFill="1" applyBorder="1" applyAlignment="1" applyProtection="1">
      <alignment horizontal="center" vertical="center"/>
      <protection hidden="1"/>
    </xf>
    <xf numFmtId="0" fontId="90" fillId="31" borderId="63" xfId="0" applyFont="1" applyFill="1" applyBorder="1" applyAlignment="1" applyProtection="1">
      <alignment horizontal="center" vertical="center"/>
      <protection hidden="1"/>
    </xf>
    <xf numFmtId="1" fontId="80" fillId="31" borderId="64" xfId="0" applyNumberFormat="1" applyFont="1" applyFill="1" applyBorder="1" applyAlignment="1" applyProtection="1">
      <alignment horizontal="center" vertical="center"/>
      <protection hidden="1"/>
    </xf>
    <xf numFmtId="0" fontId="25" fillId="31" borderId="66" xfId="0" applyFont="1" applyFill="1" applyBorder="1" applyAlignment="1" applyProtection="1">
      <alignment horizontal="center" vertical="center"/>
      <protection hidden="1"/>
    </xf>
    <xf numFmtId="1" fontId="89" fillId="31" borderId="67" xfId="0" applyNumberFormat="1" applyFont="1" applyFill="1" applyBorder="1" applyAlignment="1" applyProtection="1">
      <alignment horizontal="center" vertical="center"/>
      <protection hidden="1"/>
    </xf>
    <xf numFmtId="1" fontId="89" fillId="31" borderId="68" xfId="0" applyNumberFormat="1" applyFont="1" applyFill="1" applyBorder="1" applyAlignment="1" applyProtection="1">
      <alignment horizontal="center" vertical="center"/>
      <protection hidden="1"/>
    </xf>
    <xf numFmtId="1" fontId="150" fillId="16" borderId="11" xfId="0" applyNumberFormat="1" applyFont="1" applyFill="1" applyBorder="1" applyAlignment="1" applyProtection="1">
      <alignment horizontal="center" vertical="center"/>
      <protection hidden="1"/>
    </xf>
    <xf numFmtId="1" fontId="150" fillId="16" borderId="9" xfId="0" applyNumberFormat="1" applyFont="1" applyFill="1" applyBorder="1" applyAlignment="1" applyProtection="1">
      <alignment horizontal="center" vertical="center"/>
      <protection hidden="1"/>
    </xf>
    <xf numFmtId="1" fontId="150" fillId="16" borderId="24" xfId="0" applyNumberFormat="1" applyFont="1" applyFill="1" applyBorder="1" applyAlignment="1" applyProtection="1">
      <alignment horizontal="center" vertical="center"/>
      <protection hidden="1"/>
    </xf>
    <xf numFmtId="181" fontId="27" fillId="9" borderId="12" xfId="0" applyNumberFormat="1" applyFont="1" applyFill="1" applyBorder="1" applyAlignment="1" applyProtection="1">
      <alignment horizontal="center" vertical="center"/>
      <protection locked="0"/>
    </xf>
    <xf numFmtId="181" fontId="27" fillId="9" borderId="64" xfId="0" applyNumberFormat="1" applyFont="1" applyFill="1" applyBorder="1" applyAlignment="1" applyProtection="1">
      <alignment horizontal="center" vertical="center"/>
      <protection locked="0"/>
    </xf>
    <xf numFmtId="181" fontId="27" fillId="9" borderId="17" xfId="0" applyNumberFormat="1" applyFont="1" applyFill="1" applyBorder="1" applyAlignment="1" applyProtection="1">
      <alignment horizontal="center" vertical="center"/>
      <protection locked="0"/>
    </xf>
    <xf numFmtId="0" fontId="72" fillId="4" borderId="0" xfId="0" applyFont="1" applyFill="1" applyBorder="1" applyAlignment="1" applyProtection="1">
      <alignment horizontal="center" vertical="center" wrapText="1"/>
      <protection hidden="1"/>
    </xf>
    <xf numFmtId="0" fontId="119" fillId="16" borderId="36" xfId="0" applyFont="1" applyFill="1" applyBorder="1" applyAlignment="1" applyProtection="1">
      <alignment horizontal="center" vertical="center" wrapText="1"/>
      <protection hidden="1"/>
    </xf>
    <xf numFmtId="0" fontId="119" fillId="16" borderId="37" xfId="0" applyFont="1" applyFill="1" applyBorder="1" applyAlignment="1" applyProtection="1">
      <alignment horizontal="center" vertical="center" wrapText="1"/>
      <protection hidden="1"/>
    </xf>
    <xf numFmtId="1" fontId="119" fillId="16" borderId="19" xfId="0" applyNumberFormat="1" applyFont="1" applyFill="1" applyBorder="1" applyAlignment="1" applyProtection="1">
      <alignment horizontal="center" vertical="center" wrapText="1"/>
      <protection hidden="1"/>
    </xf>
    <xf numFmtId="1" fontId="119" fillId="16" borderId="20" xfId="0" applyNumberFormat="1" applyFont="1" applyFill="1" applyBorder="1" applyAlignment="1" applyProtection="1">
      <alignment horizontal="center" vertical="center" wrapText="1"/>
      <protection hidden="1"/>
    </xf>
    <xf numFmtId="1" fontId="119" fillId="16" borderId="32" xfId="0" applyNumberFormat="1" applyFont="1" applyFill="1" applyBorder="1" applyAlignment="1" applyProtection="1">
      <alignment horizontal="center" vertical="center" wrapText="1"/>
      <protection hidden="1"/>
    </xf>
    <xf numFmtId="1" fontId="119" fillId="16" borderId="84" xfId="0" applyNumberFormat="1" applyFont="1" applyFill="1" applyBorder="1" applyAlignment="1" applyProtection="1">
      <alignment horizontal="center" vertical="center" wrapText="1"/>
      <protection hidden="1"/>
    </xf>
    <xf numFmtId="0" fontId="134" fillId="16" borderId="90" xfId="0" applyFont="1" applyFill="1" applyBorder="1" applyAlignment="1" applyProtection="1">
      <alignment horizontal="center"/>
      <protection hidden="1"/>
    </xf>
    <xf numFmtId="0" fontId="134" fillId="16" borderId="24" xfId="0" applyFont="1" applyFill="1" applyBorder="1" applyAlignment="1" applyProtection="1">
      <alignment horizontal="center"/>
      <protection hidden="1"/>
    </xf>
    <xf numFmtId="0" fontId="134" fillId="16" borderId="23" xfId="0" applyFont="1" applyFill="1" applyBorder="1" applyAlignment="1" applyProtection="1">
      <alignment horizontal="center"/>
      <protection hidden="1"/>
    </xf>
    <xf numFmtId="0" fontId="134" fillId="16" borderId="20" xfId="0" applyFont="1" applyFill="1" applyBorder="1" applyAlignment="1" applyProtection="1">
      <alignment horizontal="center"/>
      <protection hidden="1"/>
    </xf>
    <xf numFmtId="0" fontId="134" fillId="16" borderId="84" xfId="0" applyFont="1" applyFill="1" applyBorder="1" applyAlignment="1" applyProtection="1">
      <alignment horizontal="center"/>
      <protection hidden="1"/>
    </xf>
    <xf numFmtId="0" fontId="120" fillId="16" borderId="63" xfId="0" applyFont="1" applyFill="1" applyBorder="1" applyAlignment="1" applyProtection="1">
      <alignment horizontal="center" vertical="center" wrapText="1"/>
      <protection hidden="1"/>
    </xf>
    <xf numFmtId="1" fontId="120" fillId="16" borderId="24" xfId="0" applyNumberFormat="1" applyFont="1" applyFill="1" applyBorder="1" applyAlignment="1" applyProtection="1">
      <alignment horizontal="center" vertical="center"/>
      <protection hidden="1"/>
    </xf>
    <xf numFmtId="2" fontId="120" fillId="16" borderId="24" xfId="0" applyNumberFormat="1" applyFont="1" applyFill="1" applyBorder="1" applyAlignment="1" applyProtection="1">
      <alignment horizontal="center" vertical="center"/>
      <protection hidden="1"/>
    </xf>
    <xf numFmtId="0" fontId="3" fillId="7" borderId="9" xfId="0" applyFont="1" applyFill="1" applyBorder="1" applyAlignment="1" applyProtection="1">
      <alignment horizontal="center" vertical="center"/>
      <protection hidden="1"/>
    </xf>
    <xf numFmtId="172" fontId="98" fillId="6" borderId="9" xfId="0" applyNumberFormat="1" applyFont="1" applyFill="1" applyBorder="1" applyAlignment="1" applyProtection="1">
      <alignment horizontal="center" vertical="center"/>
      <protection hidden="1"/>
    </xf>
    <xf numFmtId="1" fontId="98" fillId="6" borderId="9" xfId="0" applyNumberFormat="1" applyFont="1" applyFill="1" applyBorder="1" applyAlignment="1" applyProtection="1">
      <alignment horizontal="center" vertical="center"/>
      <protection hidden="1"/>
    </xf>
    <xf numFmtId="1" fontId="98" fillId="6" borderId="14" xfId="0" applyNumberFormat="1" applyFont="1" applyFill="1" applyBorder="1" applyAlignment="1" applyProtection="1">
      <alignment horizontal="center" vertical="center"/>
      <protection hidden="1"/>
    </xf>
    <xf numFmtId="165" fontId="3" fillId="0" borderId="9" xfId="0" applyNumberFormat="1" applyFont="1" applyBorder="1" applyAlignment="1" applyProtection="1">
      <alignment horizontal="center" vertical="center"/>
      <protection hidden="1"/>
    </xf>
    <xf numFmtId="165" fontId="3" fillId="0" borderId="9" xfId="0" applyNumberFormat="1" applyFont="1" applyBorder="1" applyAlignment="1" applyProtection="1">
      <alignment horizontal="center" vertical="center"/>
      <protection locked="0"/>
    </xf>
    <xf numFmtId="0" fontId="56" fillId="6" borderId="9" xfId="0" applyFont="1" applyFill="1" applyBorder="1" applyAlignment="1" applyProtection="1">
      <alignment horizontal="center" vertical="center"/>
      <protection locked="0" hidden="1"/>
    </xf>
    <xf numFmtId="1" fontId="56" fillId="6" borderId="9" xfId="0" applyNumberFormat="1" applyFont="1" applyFill="1" applyBorder="1" applyAlignment="1" applyProtection="1">
      <alignment horizontal="center" vertical="center"/>
      <protection locked="0" hidden="1"/>
    </xf>
    <xf numFmtId="0" fontId="56" fillId="6" borderId="14" xfId="0" applyFont="1" applyFill="1" applyBorder="1" applyAlignment="1" applyProtection="1">
      <alignment horizontal="center" vertical="center"/>
      <protection locked="0" hidden="1"/>
    </xf>
    <xf numFmtId="1" fontId="56" fillId="20" borderId="9" xfId="0" applyNumberFormat="1" applyFont="1" applyFill="1" applyBorder="1" applyAlignment="1" applyProtection="1">
      <alignment horizontal="center" vertical="center"/>
      <protection locked="0" hidden="1"/>
    </xf>
    <xf numFmtId="0" fontId="56" fillId="6" borderId="22" xfId="0" applyFont="1" applyFill="1" applyBorder="1" applyAlignment="1" applyProtection="1">
      <alignment horizontal="center" vertical="center"/>
      <protection locked="0" hidden="1"/>
    </xf>
    <xf numFmtId="0" fontId="139" fillId="6" borderId="22" xfId="0" applyFont="1" applyFill="1" applyBorder="1" applyAlignment="1" applyProtection="1">
      <alignment horizontal="center" vertical="center"/>
      <protection locked="0" hidden="1"/>
    </xf>
    <xf numFmtId="0" fontId="56" fillId="6" borderId="23" xfId="0" applyFont="1" applyFill="1" applyBorder="1" applyAlignment="1" applyProtection="1">
      <alignment horizontal="center" vertical="center"/>
      <protection locked="0" hidden="1"/>
    </xf>
    <xf numFmtId="0" fontId="3" fillId="0" borderId="9" xfId="0" applyFont="1" applyBorder="1" applyAlignment="1" applyProtection="1">
      <alignment horizontal="center" vertical="center"/>
      <protection locked="0" hidden="1"/>
    </xf>
    <xf numFmtId="1" fontId="95" fillId="24" borderId="15" xfId="0" applyNumberFormat="1" applyFont="1" applyFill="1" applyBorder="1" applyAlignment="1" applyProtection="1">
      <alignment horizontal="center" vertical="center"/>
      <protection hidden="1"/>
    </xf>
    <xf numFmtId="1" fontId="95" fillId="24" borderId="16" xfId="0" applyNumberFormat="1" applyFont="1" applyFill="1" applyBorder="1" applyAlignment="1" applyProtection="1">
      <alignment horizontal="center" vertical="center"/>
      <protection hidden="1"/>
    </xf>
    <xf numFmtId="0" fontId="107" fillId="0" borderId="43" xfId="0" applyFont="1" applyFill="1" applyBorder="1" applyAlignment="1" applyProtection="1">
      <alignment horizontal="center" vertical="center" wrapText="1"/>
      <protection hidden="1"/>
    </xf>
    <xf numFmtId="0" fontId="107" fillId="0" borderId="45" xfId="0" applyFont="1" applyFill="1" applyBorder="1" applyAlignment="1" applyProtection="1">
      <alignment horizontal="center" vertical="center" wrapText="1"/>
      <protection hidden="1"/>
    </xf>
    <xf numFmtId="0" fontId="100" fillId="0" borderId="24" xfId="0" applyFont="1" applyFill="1" applyBorder="1" applyAlignment="1" applyProtection="1">
      <alignment horizontal="center" vertical="center" wrapText="1"/>
      <protection hidden="1"/>
    </xf>
    <xf numFmtId="165" fontId="56" fillId="6" borderId="24" xfId="0" applyNumberFormat="1" applyFont="1" applyFill="1" applyBorder="1" applyAlignment="1" applyProtection="1">
      <alignment horizontal="center" vertical="center" wrapText="1" shrinkToFit="1"/>
      <protection hidden="1"/>
    </xf>
    <xf numFmtId="165" fontId="56" fillId="6" borderId="58" xfId="0" applyNumberFormat="1" applyFont="1" applyFill="1" applyBorder="1" applyAlignment="1" applyProtection="1">
      <alignment horizontal="center" vertical="center" wrapText="1" shrinkToFit="1"/>
      <protection hidden="1"/>
    </xf>
    <xf numFmtId="0" fontId="90" fillId="31" borderId="47" xfId="0" applyFont="1" applyFill="1" applyBorder="1" applyAlignment="1" applyProtection="1">
      <alignment horizontal="center" vertical="center"/>
      <protection hidden="1"/>
    </xf>
    <xf numFmtId="177" fontId="60" fillId="24" borderId="36" xfId="0" applyNumberFormat="1" applyFont="1" applyFill="1" applyBorder="1" applyAlignment="1" applyProtection="1">
      <alignment horizontal="center" vertical="center"/>
      <protection locked="0"/>
    </xf>
    <xf numFmtId="177" fontId="27" fillId="24" borderId="32" xfId="0" applyNumberFormat="1" applyFont="1" applyFill="1" applyBorder="1" applyAlignment="1" applyProtection="1">
      <alignment horizontal="center" vertical="center"/>
      <protection locked="0"/>
    </xf>
    <xf numFmtId="177" fontId="60" fillId="24" borderId="77" xfId="0" applyNumberFormat="1" applyFont="1" applyFill="1" applyBorder="1" applyAlignment="1" applyProtection="1">
      <alignment horizontal="center" vertical="center"/>
      <protection locked="0"/>
    </xf>
    <xf numFmtId="177" fontId="27" fillId="24" borderId="77" xfId="0" applyNumberFormat="1" applyFont="1" applyFill="1" applyBorder="1" applyAlignment="1" applyProtection="1">
      <alignment horizontal="center" vertical="center"/>
      <protection locked="0"/>
    </xf>
    <xf numFmtId="0" fontId="116" fillId="8" borderId="41" xfId="0" applyFont="1" applyFill="1" applyBorder="1" applyAlignment="1" applyProtection="1">
      <alignment horizontal="center" vertical="center" wrapText="1"/>
      <protection hidden="1"/>
    </xf>
    <xf numFmtId="0" fontId="116" fillId="8" borderId="76" xfId="0" applyFont="1" applyFill="1" applyBorder="1" applyAlignment="1" applyProtection="1">
      <alignment horizontal="center" vertical="center" wrapText="1"/>
      <protection hidden="1"/>
    </xf>
    <xf numFmtId="178" fontId="27" fillId="9" borderId="22" xfId="0" applyNumberFormat="1" applyFont="1" applyFill="1" applyBorder="1" applyAlignment="1" applyProtection="1">
      <alignment horizontal="center" vertical="center"/>
      <protection locked="0"/>
    </xf>
    <xf numFmtId="0" fontId="5" fillId="24" borderId="127" xfId="0" applyFont="1" applyFill="1" applyBorder="1" applyAlignment="1" applyProtection="1">
      <alignment horizontal="center" vertical="center" wrapText="1"/>
      <protection hidden="1"/>
    </xf>
    <xf numFmtId="1" fontId="96" fillId="24" borderId="15" xfId="0" applyNumberFormat="1" applyFont="1" applyFill="1" applyBorder="1" applyAlignment="1" applyProtection="1">
      <alignment horizontal="center" vertical="center"/>
      <protection hidden="1"/>
    </xf>
    <xf numFmtId="1" fontId="96" fillId="24" borderId="16" xfId="0" applyNumberFormat="1" applyFont="1" applyFill="1" applyBorder="1" applyAlignment="1" applyProtection="1">
      <alignment horizontal="center" vertical="center"/>
      <protection hidden="1"/>
    </xf>
    <xf numFmtId="1" fontId="132" fillId="24" borderId="17" xfId="0" applyNumberFormat="1" applyFont="1" applyFill="1" applyBorder="1" applyAlignment="1" applyProtection="1">
      <alignment horizontal="center" vertical="center"/>
      <protection hidden="1"/>
    </xf>
    <xf numFmtId="1" fontId="132" fillId="24" borderId="84" xfId="0" applyNumberFormat="1" applyFont="1" applyFill="1" applyBorder="1" applyAlignment="1" applyProtection="1">
      <alignment horizontal="center" vertical="center"/>
      <protection hidden="1"/>
    </xf>
    <xf numFmtId="0" fontId="0" fillId="19" borderId="0" xfId="0" applyFill="1" applyBorder="1" applyAlignment="1" applyProtection="1">
      <alignment horizontal="center"/>
      <protection hidden="1"/>
    </xf>
    <xf numFmtId="1" fontId="57" fillId="24" borderId="14" xfId="0" applyNumberFormat="1" applyFont="1" applyFill="1" applyBorder="1" applyAlignment="1" applyProtection="1">
      <alignment horizontal="center" vertical="center"/>
      <protection hidden="1"/>
    </xf>
    <xf numFmtId="1" fontId="95" fillId="24" borderId="13" xfId="0" applyNumberFormat="1" applyFont="1" applyFill="1" applyBorder="1" applyAlignment="1" applyProtection="1">
      <alignment horizontal="center" vertical="center"/>
      <protection hidden="1"/>
    </xf>
    <xf numFmtId="1" fontId="95" fillId="24" borderId="9" xfId="0" applyNumberFormat="1" applyFont="1" applyFill="1" applyBorder="1" applyAlignment="1" applyProtection="1">
      <alignment horizontal="center" vertical="center"/>
      <protection hidden="1"/>
    </xf>
    <xf numFmtId="1" fontId="57" fillId="24" borderId="32" xfId="0" applyNumberFormat="1" applyFont="1" applyFill="1" applyBorder="1" applyAlignment="1" applyProtection="1">
      <alignment horizontal="center" vertical="center"/>
      <protection hidden="1"/>
    </xf>
    <xf numFmtId="1" fontId="140" fillId="24" borderId="17" xfId="0" applyNumberFormat="1" applyFont="1" applyFill="1" applyBorder="1" applyAlignment="1" applyProtection="1">
      <alignment horizontal="center" vertical="center"/>
      <protection hidden="1"/>
    </xf>
    <xf numFmtId="165" fontId="96" fillId="24" borderId="16" xfId="0" applyNumberFormat="1" applyFont="1" applyFill="1" applyBorder="1" applyAlignment="1" applyProtection="1">
      <alignment horizontal="center" vertical="center" wrapText="1"/>
      <protection locked="0"/>
    </xf>
    <xf numFmtId="173" fontId="96" fillId="24" borderId="12" xfId="0" applyNumberFormat="1" applyFont="1" applyFill="1" applyBorder="1" applyAlignment="1" applyProtection="1">
      <alignment horizontal="center" vertical="center"/>
      <protection hidden="1"/>
    </xf>
    <xf numFmtId="174" fontId="88" fillId="6" borderId="10" xfId="0" applyNumberFormat="1" applyFont="1" applyFill="1" applyBorder="1" applyAlignment="1" applyProtection="1">
      <alignment horizontal="center" vertical="center" shrinkToFit="1"/>
      <protection hidden="1"/>
    </xf>
    <xf numFmtId="174" fontId="88" fillId="6" borderId="13" xfId="0" applyNumberFormat="1" applyFont="1" applyFill="1" applyBorder="1" applyAlignment="1" applyProtection="1">
      <alignment horizontal="center" vertical="center" shrinkToFit="1"/>
      <protection hidden="1"/>
    </xf>
    <xf numFmtId="165" fontId="96" fillId="6" borderId="26" xfId="0" applyNumberFormat="1" applyFont="1" applyFill="1" applyBorder="1" applyAlignment="1" applyProtection="1">
      <alignment horizontal="center" vertical="center" wrapText="1"/>
      <protection locked="0"/>
    </xf>
    <xf numFmtId="165" fontId="96" fillId="6" borderId="24" xfId="0" applyNumberFormat="1" applyFont="1" applyFill="1" applyBorder="1" applyAlignment="1" applyProtection="1">
      <alignment horizontal="center" vertical="center" wrapText="1"/>
      <protection locked="0"/>
    </xf>
    <xf numFmtId="0" fontId="0" fillId="19" borderId="0" xfId="0" applyFill="1" applyBorder="1" applyAlignment="1" applyProtection="1">
      <alignment horizontal="center" vertical="center"/>
      <protection hidden="1"/>
    </xf>
    <xf numFmtId="165" fontId="19" fillId="7" borderId="0" xfId="0" applyNumberFormat="1" applyFont="1" applyFill="1" applyAlignment="1" applyProtection="1">
      <alignment vertical="center"/>
      <protection hidden="1"/>
    </xf>
    <xf numFmtId="0" fontId="19" fillId="7" borderId="0" xfId="0" applyFont="1" applyFill="1" applyAlignment="1" applyProtection="1">
      <alignment vertical="center"/>
      <protection hidden="1"/>
    </xf>
    <xf numFmtId="1" fontId="103" fillId="6" borderId="20" xfId="0" applyNumberFormat="1" applyFont="1" applyFill="1" applyBorder="1" applyAlignment="1" applyProtection="1">
      <alignment horizontal="center" vertical="center" textRotation="90" wrapText="1" shrinkToFit="1"/>
      <protection hidden="1"/>
    </xf>
    <xf numFmtId="1" fontId="56" fillId="6" borderId="18" xfId="0" applyNumberFormat="1" applyFont="1" applyFill="1" applyBorder="1" applyAlignment="1" applyProtection="1">
      <alignment horizontal="center" vertical="center" textRotation="90" wrapText="1" shrinkToFit="1"/>
      <protection hidden="1"/>
    </xf>
    <xf numFmtId="1" fontId="56" fillId="6" borderId="19" xfId="0" applyNumberFormat="1" applyFont="1" applyFill="1" applyBorder="1" applyAlignment="1" applyProtection="1">
      <alignment horizontal="center" vertical="center" textRotation="90" wrapText="1" shrinkToFit="1"/>
      <protection hidden="1"/>
    </xf>
    <xf numFmtId="0" fontId="151" fillId="0" borderId="58" xfId="0" applyFont="1" applyFill="1" applyBorder="1" applyAlignment="1" applyProtection="1">
      <alignment horizontal="center" vertical="center" wrapText="1"/>
      <protection hidden="1"/>
    </xf>
    <xf numFmtId="0" fontId="152" fillId="0" borderId="58" xfId="0" applyFont="1" applyFill="1" applyBorder="1" applyAlignment="1" applyProtection="1">
      <alignment horizontal="center" vertical="top" wrapText="1"/>
      <protection hidden="1"/>
    </xf>
    <xf numFmtId="0" fontId="105" fillId="0" borderId="24" xfId="0" applyFont="1" applyFill="1" applyBorder="1" applyAlignment="1" applyProtection="1">
      <alignment horizontal="center" vertical="center" wrapText="1"/>
      <protection hidden="1"/>
    </xf>
    <xf numFmtId="183" fontId="27" fillId="9" borderId="22" xfId="0" applyNumberFormat="1" applyFont="1" applyFill="1" applyBorder="1" applyAlignment="1" applyProtection="1">
      <alignment horizontal="center" vertical="center"/>
      <protection locked="0"/>
    </xf>
    <xf numFmtId="1" fontId="146" fillId="6" borderId="83" xfId="0" applyNumberFormat="1" applyFont="1" applyFill="1" applyBorder="1" applyAlignment="1" applyProtection="1">
      <alignment horizontal="center" vertical="center" textRotation="90" wrapText="1" shrinkToFit="1"/>
      <protection hidden="1"/>
    </xf>
    <xf numFmtId="1" fontId="146" fillId="6" borderId="87" xfId="0" applyNumberFormat="1" applyFont="1" applyFill="1" applyBorder="1" applyAlignment="1" applyProtection="1">
      <alignment horizontal="center" vertical="center" textRotation="90" wrapText="1" shrinkToFit="1"/>
      <protection hidden="1"/>
    </xf>
    <xf numFmtId="1" fontId="146" fillId="6" borderId="82" xfId="0" applyNumberFormat="1" applyFont="1" applyFill="1" applyBorder="1" applyAlignment="1" applyProtection="1">
      <alignment horizontal="center" vertical="center" textRotation="90" wrapText="1" shrinkToFit="1"/>
      <protection hidden="1"/>
    </xf>
    <xf numFmtId="1" fontId="101" fillId="24" borderId="45" xfId="0" applyNumberFormat="1" applyFont="1" applyFill="1" applyBorder="1" applyAlignment="1" applyProtection="1">
      <alignment horizontal="center" vertical="center" wrapText="1"/>
      <protection locked="0"/>
    </xf>
    <xf numFmtId="1" fontId="101" fillId="24" borderId="58" xfId="0" applyNumberFormat="1" applyFont="1" applyFill="1" applyBorder="1" applyAlignment="1" applyProtection="1">
      <alignment horizontal="center" vertical="center" wrapText="1"/>
      <protection locked="0"/>
    </xf>
    <xf numFmtId="174" fontId="106" fillId="6" borderId="9" xfId="0" applyNumberFormat="1" applyFont="1" applyFill="1" applyBorder="1" applyAlignment="1" applyProtection="1">
      <alignment horizontal="center" vertical="center" wrapText="1" shrinkToFit="1"/>
      <protection hidden="1"/>
    </xf>
    <xf numFmtId="0" fontId="0" fillId="0" borderId="0" xfId="0" applyAlignment="1" applyProtection="1">
      <alignment vertical="center"/>
      <protection hidden="1"/>
    </xf>
    <xf numFmtId="1" fontId="95" fillId="24" borderId="24" xfId="0" applyNumberFormat="1" applyFont="1" applyFill="1" applyBorder="1" applyAlignment="1" applyProtection="1">
      <alignment horizontal="center" vertical="center"/>
      <protection hidden="1"/>
    </xf>
    <xf numFmtId="0" fontId="160" fillId="0" borderId="0" xfId="0" applyFont="1" applyAlignment="1" applyProtection="1">
      <alignment horizontal="center" vertical="center"/>
      <protection hidden="1"/>
    </xf>
    <xf numFmtId="0" fontId="161" fillId="0" borderId="0" xfId="1" applyFont="1" applyAlignment="1" applyProtection="1">
      <alignment horizontal="center" vertical="center"/>
      <protection locked="0"/>
    </xf>
    <xf numFmtId="184" fontId="6" fillId="0" borderId="11" xfId="0" applyNumberFormat="1" applyFont="1" applyBorder="1" applyAlignment="1" applyProtection="1">
      <alignment horizontal="center" vertical="center" wrapText="1"/>
      <protection locked="0"/>
    </xf>
    <xf numFmtId="184" fontId="6" fillId="26" borderId="11" xfId="0" applyNumberFormat="1" applyFont="1" applyFill="1" applyBorder="1" applyAlignment="1" applyProtection="1">
      <alignment horizontal="center" vertical="center" wrapText="1"/>
      <protection hidden="1"/>
    </xf>
    <xf numFmtId="184" fontId="4" fillId="0" borderId="21" xfId="0" applyNumberFormat="1" applyFont="1" applyBorder="1" applyAlignment="1" applyProtection="1">
      <alignment horizontal="center" vertical="center" wrapText="1"/>
      <protection locked="0"/>
    </xf>
    <xf numFmtId="184" fontId="6" fillId="0" borderId="9" xfId="0" applyNumberFormat="1" applyFont="1" applyBorder="1" applyAlignment="1" applyProtection="1">
      <alignment horizontal="center" vertical="center" wrapText="1"/>
      <protection locked="0"/>
    </xf>
    <xf numFmtId="184" fontId="6" fillId="26" borderId="9" xfId="0" applyNumberFormat="1" applyFont="1" applyFill="1" applyBorder="1" applyAlignment="1" applyProtection="1">
      <alignment horizontal="center" vertical="center" wrapText="1"/>
      <protection hidden="1"/>
    </xf>
    <xf numFmtId="184" fontId="4" fillId="0" borderId="22" xfId="0" applyNumberFormat="1" applyFont="1" applyBorder="1" applyAlignment="1" applyProtection="1">
      <alignment horizontal="center" vertical="center" wrapText="1"/>
      <protection locked="0"/>
    </xf>
    <xf numFmtId="184" fontId="6" fillId="0" borderId="16" xfId="0" applyNumberFormat="1" applyFont="1" applyBorder="1" applyAlignment="1" applyProtection="1">
      <alignment horizontal="center" vertical="center" wrapText="1"/>
      <protection locked="0"/>
    </xf>
    <xf numFmtId="184" fontId="6" fillId="26" borderId="16" xfId="0" applyNumberFormat="1" applyFont="1" applyFill="1" applyBorder="1" applyAlignment="1" applyProtection="1">
      <alignment horizontal="center" vertical="center" wrapText="1"/>
      <protection hidden="1"/>
    </xf>
    <xf numFmtId="184" fontId="4" fillId="0" borderId="23" xfId="0" applyNumberFormat="1" applyFont="1" applyBorder="1" applyAlignment="1" applyProtection="1">
      <alignment horizontal="center" vertical="center" wrapText="1"/>
      <protection locked="0"/>
    </xf>
    <xf numFmtId="184" fontId="18" fillId="6" borderId="48" xfId="0" applyNumberFormat="1" applyFont="1" applyFill="1" applyBorder="1" applyAlignment="1" applyProtection="1">
      <alignment horizontal="center" vertical="center"/>
      <protection locked="0"/>
    </xf>
    <xf numFmtId="184" fontId="18" fillId="6" borderId="49" xfId="0" applyNumberFormat="1" applyFont="1" applyFill="1" applyBorder="1" applyAlignment="1" applyProtection="1">
      <alignment horizontal="center" vertical="center"/>
      <protection locked="0"/>
    </xf>
    <xf numFmtId="184" fontId="18" fillId="6" borderId="13" xfId="0" applyNumberFormat="1" applyFont="1" applyFill="1" applyBorder="1" applyAlignment="1" applyProtection="1">
      <alignment horizontal="center" vertical="center"/>
      <protection locked="0"/>
    </xf>
    <xf numFmtId="184" fontId="18" fillId="6" borderId="14" xfId="0" applyNumberFormat="1" applyFont="1" applyFill="1" applyBorder="1" applyAlignment="1" applyProtection="1">
      <alignment horizontal="center" vertical="center"/>
      <protection locked="0"/>
    </xf>
    <xf numFmtId="184" fontId="18" fillId="6" borderId="15" xfId="0" applyNumberFormat="1" applyFont="1" applyFill="1" applyBorder="1" applyAlignment="1" applyProtection="1">
      <alignment horizontal="center" vertical="center"/>
      <protection locked="0"/>
    </xf>
    <xf numFmtId="184" fontId="18" fillId="6" borderId="17" xfId="0" applyNumberFormat="1" applyFont="1" applyFill="1" applyBorder="1" applyAlignment="1" applyProtection="1">
      <alignment horizontal="center" vertical="center"/>
      <protection locked="0"/>
    </xf>
    <xf numFmtId="184" fontId="82" fillId="4" borderId="74" xfId="0" applyNumberFormat="1" applyFont="1" applyFill="1" applyBorder="1" applyAlignment="1" applyProtection="1">
      <alignment horizontal="center" vertical="center"/>
      <protection hidden="1"/>
    </xf>
    <xf numFmtId="184" fontId="82" fillId="4" borderId="68" xfId="0" applyNumberFormat="1" applyFont="1" applyFill="1" applyBorder="1" applyAlignment="1" applyProtection="1">
      <alignment horizontal="center" vertical="center"/>
      <protection hidden="1"/>
    </xf>
    <xf numFmtId="184" fontId="1" fillId="0" borderId="10" xfId="0" applyNumberFormat="1" applyFont="1" applyBorder="1" applyAlignment="1" applyProtection="1">
      <alignment horizontal="center" vertical="center" wrapText="1"/>
      <protection locked="0"/>
    </xf>
    <xf numFmtId="184" fontId="1" fillId="0" borderId="11" xfId="0" applyNumberFormat="1" applyFont="1" applyBorder="1" applyAlignment="1" applyProtection="1">
      <alignment horizontal="center" vertical="center" wrapText="1"/>
      <protection locked="0"/>
    </xf>
    <xf numFmtId="184" fontId="1" fillId="26" borderId="11" xfId="0" applyNumberFormat="1" applyFont="1" applyFill="1" applyBorder="1" applyAlignment="1" applyProtection="1">
      <alignment horizontal="center" vertical="center" wrapText="1"/>
      <protection hidden="1"/>
    </xf>
    <xf numFmtId="184" fontId="1" fillId="0" borderId="12" xfId="0" applyNumberFormat="1" applyFont="1" applyBorder="1" applyAlignment="1" applyProtection="1">
      <alignment horizontal="center" vertical="center" wrapText="1"/>
      <protection locked="0"/>
    </xf>
    <xf numFmtId="184" fontId="48" fillId="0" borderId="15" xfId="0" applyNumberFormat="1" applyFont="1" applyBorder="1" applyAlignment="1" applyProtection="1">
      <alignment horizontal="center" vertical="center"/>
      <protection locked="0"/>
    </xf>
    <xf numFmtId="184" fontId="1" fillId="0" borderId="16" xfId="0" applyNumberFormat="1" applyFont="1" applyBorder="1" applyAlignment="1" applyProtection="1">
      <alignment horizontal="center" vertical="center" wrapText="1"/>
      <protection locked="0"/>
    </xf>
    <xf numFmtId="184" fontId="1" fillId="26" borderId="16" xfId="0" applyNumberFormat="1" applyFont="1" applyFill="1" applyBorder="1" applyAlignment="1" applyProtection="1">
      <alignment horizontal="center" vertical="center" wrapText="1"/>
      <protection hidden="1"/>
    </xf>
    <xf numFmtId="184" fontId="1" fillId="0" borderId="17" xfId="0" applyNumberFormat="1" applyFont="1" applyBorder="1" applyAlignment="1" applyProtection="1">
      <alignment horizontal="center" vertical="center" wrapText="1"/>
      <protection locked="0"/>
    </xf>
    <xf numFmtId="184" fontId="48" fillId="0" borderId="63" xfId="0" applyNumberFormat="1" applyFont="1" applyBorder="1" applyAlignment="1" applyProtection="1">
      <alignment horizontal="center" vertical="center"/>
      <protection locked="0"/>
    </xf>
    <xf numFmtId="184" fontId="1" fillId="0" borderId="24" xfId="0" applyNumberFormat="1" applyFont="1" applyBorder="1" applyAlignment="1" applyProtection="1">
      <alignment horizontal="center" vertical="center" wrapText="1"/>
      <protection locked="0"/>
    </xf>
    <xf numFmtId="184" fontId="1" fillId="26" borderId="24" xfId="0" applyNumberFormat="1" applyFont="1" applyFill="1" applyBorder="1" applyAlignment="1" applyProtection="1">
      <alignment horizontal="center" vertical="center" wrapText="1"/>
      <protection hidden="1"/>
    </xf>
    <xf numFmtId="184" fontId="6" fillId="0" borderId="24" xfId="0" applyNumberFormat="1" applyFont="1" applyBorder="1" applyAlignment="1" applyProtection="1">
      <alignment horizontal="center" vertical="center" wrapText="1"/>
      <protection locked="0"/>
    </xf>
    <xf numFmtId="184" fontId="1" fillId="0" borderId="64" xfId="0" applyNumberFormat="1" applyFont="1" applyBorder="1" applyAlignment="1" applyProtection="1">
      <alignment horizontal="center" vertical="center" wrapText="1"/>
      <protection locked="0"/>
    </xf>
    <xf numFmtId="184" fontId="18" fillId="6" borderId="53" xfId="0" applyNumberFormat="1" applyFont="1" applyFill="1" applyBorder="1" applyAlignment="1" applyProtection="1">
      <alignment horizontal="center" vertical="center"/>
      <protection locked="0"/>
    </xf>
    <xf numFmtId="184" fontId="74" fillId="6" borderId="53" xfId="0" applyNumberFormat="1" applyFont="1" applyFill="1" applyBorder="1" applyAlignment="1" applyProtection="1">
      <alignment horizontal="center" vertical="center"/>
      <protection locked="0"/>
    </xf>
    <xf numFmtId="184" fontId="18" fillId="6" borderId="22" xfId="0" applyNumberFormat="1" applyFont="1" applyFill="1" applyBorder="1" applyAlignment="1" applyProtection="1">
      <alignment horizontal="center" vertical="center"/>
      <protection locked="0"/>
    </xf>
    <xf numFmtId="184" fontId="18" fillId="6" borderId="63" xfId="0" applyNumberFormat="1" applyFont="1" applyFill="1" applyBorder="1" applyAlignment="1" applyProtection="1">
      <alignment horizontal="center" vertical="center"/>
      <protection locked="0"/>
    </xf>
    <xf numFmtId="184" fontId="18" fillId="6" borderId="51" xfId="0" applyNumberFormat="1" applyFont="1" applyFill="1" applyBorder="1" applyAlignment="1" applyProtection="1">
      <alignment horizontal="center" vertical="center"/>
      <protection locked="0"/>
    </xf>
    <xf numFmtId="184" fontId="82" fillId="4" borderId="27" xfId="0" applyNumberFormat="1" applyFont="1" applyFill="1" applyBorder="1" applyAlignment="1" applyProtection="1">
      <alignment horizontal="center" vertical="center"/>
      <protection hidden="1"/>
    </xf>
    <xf numFmtId="184" fontId="82" fillId="4" borderId="15" xfId="0" applyNumberFormat="1" applyFont="1" applyFill="1" applyBorder="1" applyAlignment="1" applyProtection="1">
      <alignment horizontal="center" vertical="center"/>
      <protection hidden="1"/>
    </xf>
    <xf numFmtId="184" fontId="82" fillId="4" borderId="23" xfId="0" applyNumberFormat="1" applyFont="1" applyFill="1" applyBorder="1" applyAlignment="1" applyProtection="1">
      <alignment horizontal="center" vertical="center"/>
      <protection hidden="1"/>
    </xf>
    <xf numFmtId="184" fontId="82" fillId="4" borderId="17" xfId="0" applyNumberFormat="1" applyFont="1" applyFill="1" applyBorder="1" applyAlignment="1" applyProtection="1">
      <alignment horizontal="center" vertical="center"/>
      <protection hidden="1"/>
    </xf>
    <xf numFmtId="184" fontId="44" fillId="0" borderId="167" xfId="0" applyNumberFormat="1" applyFont="1" applyBorder="1" applyAlignment="1" applyProtection="1">
      <alignment horizontal="center" vertical="center" wrapText="1"/>
      <protection hidden="1"/>
    </xf>
    <xf numFmtId="184" fontId="44" fillId="0" borderId="172" xfId="0" applyNumberFormat="1" applyFont="1" applyBorder="1" applyAlignment="1" applyProtection="1">
      <alignment horizontal="center" vertical="center" wrapText="1"/>
      <protection hidden="1"/>
    </xf>
    <xf numFmtId="184" fontId="44" fillId="0" borderId="183" xfId="0" applyNumberFormat="1" applyFont="1" applyBorder="1" applyAlignment="1" applyProtection="1">
      <alignment horizontal="center" vertical="center" wrapText="1"/>
      <protection hidden="1"/>
    </xf>
    <xf numFmtId="184" fontId="44" fillId="0" borderId="173" xfId="0" applyNumberFormat="1" applyFont="1" applyBorder="1" applyAlignment="1" applyProtection="1">
      <alignment horizontal="center" vertical="center" wrapText="1"/>
      <protection hidden="1"/>
    </xf>
    <xf numFmtId="184" fontId="8" fillId="0" borderId="167" xfId="0" applyNumberFormat="1" applyFont="1" applyBorder="1" applyAlignment="1" applyProtection="1">
      <alignment horizontal="center" vertical="center" wrapText="1"/>
      <protection hidden="1"/>
    </xf>
    <xf numFmtId="184" fontId="44" fillId="0" borderId="91" xfId="0" applyNumberFormat="1" applyFont="1" applyBorder="1" applyAlignment="1" applyProtection="1">
      <alignment horizontal="center" vertical="center" wrapText="1"/>
      <protection hidden="1"/>
    </xf>
    <xf numFmtId="184" fontId="8" fillId="0" borderId="91" xfId="0" applyNumberFormat="1" applyFont="1" applyBorder="1" applyAlignment="1" applyProtection="1">
      <alignment horizontal="center" vertical="center" wrapText="1"/>
      <protection hidden="1"/>
    </xf>
    <xf numFmtId="184" fontId="44" fillId="0" borderId="103" xfId="0" applyNumberFormat="1" applyFont="1" applyBorder="1" applyAlignment="1" applyProtection="1">
      <alignment horizontal="center" vertical="center" wrapText="1"/>
      <protection hidden="1"/>
    </xf>
    <xf numFmtId="184" fontId="8" fillId="0" borderId="103" xfId="0" applyNumberFormat="1" applyFont="1" applyBorder="1" applyAlignment="1" applyProtection="1">
      <alignment horizontal="center" vertical="center" wrapText="1"/>
      <protection hidden="1"/>
    </xf>
    <xf numFmtId="184" fontId="8" fillId="2" borderId="151" xfId="0" applyNumberFormat="1" applyFont="1" applyFill="1" applyBorder="1" applyAlignment="1" applyProtection="1">
      <alignment horizontal="center" vertical="center" wrapText="1"/>
      <protection hidden="1"/>
    </xf>
    <xf numFmtId="184" fontId="6" fillId="2" borderId="156" xfId="0" applyNumberFormat="1" applyFont="1" applyFill="1" applyBorder="1" applyAlignment="1" applyProtection="1">
      <alignment horizontal="center" vertical="center" wrapText="1"/>
      <protection hidden="1"/>
    </xf>
    <xf numFmtId="184" fontId="8" fillId="2" borderId="156" xfId="0" applyNumberFormat="1" applyFont="1" applyFill="1" applyBorder="1" applyAlignment="1" applyProtection="1">
      <alignment horizontal="center" vertical="center" wrapText="1"/>
      <protection hidden="1"/>
    </xf>
    <xf numFmtId="184" fontId="44" fillId="0" borderId="151" xfId="0" applyNumberFormat="1" applyFont="1" applyBorder="1" applyAlignment="1" applyProtection="1">
      <alignment horizontal="center" vertical="center" wrapText="1"/>
      <protection hidden="1"/>
    </xf>
    <xf numFmtId="184" fontId="8" fillId="0" borderId="151" xfId="0" applyNumberFormat="1" applyFont="1" applyBorder="1" applyAlignment="1" applyProtection="1">
      <alignment horizontal="center" vertical="center" wrapText="1"/>
      <protection hidden="1"/>
    </xf>
    <xf numFmtId="184" fontId="44" fillId="0" borderId="156" xfId="0" applyNumberFormat="1" applyFont="1" applyBorder="1" applyAlignment="1" applyProtection="1">
      <alignment horizontal="center" vertical="center" wrapText="1"/>
      <protection hidden="1"/>
    </xf>
    <xf numFmtId="184" fontId="8" fillId="0" borderId="175" xfId="0" applyNumberFormat="1" applyFont="1" applyBorder="1" applyAlignment="1" applyProtection="1">
      <alignment horizontal="center" vertical="center" wrapText="1"/>
      <protection hidden="1"/>
    </xf>
    <xf numFmtId="184" fontId="8" fillId="2" borderId="104" xfId="0" applyNumberFormat="1" applyFont="1" applyFill="1" applyBorder="1" applyAlignment="1" applyProtection="1">
      <alignment horizontal="center" vertical="center" wrapText="1"/>
      <protection hidden="1"/>
    </xf>
    <xf numFmtId="184" fontId="8" fillId="2" borderId="167" xfId="0" applyNumberFormat="1" applyFont="1" applyFill="1" applyBorder="1" applyAlignment="1" applyProtection="1">
      <alignment horizontal="center" vertical="center" wrapText="1"/>
      <protection hidden="1"/>
    </xf>
    <xf numFmtId="184" fontId="6" fillId="2" borderId="96" xfId="0" applyNumberFormat="1" applyFont="1" applyFill="1" applyBorder="1" applyAlignment="1" applyProtection="1">
      <alignment horizontal="center" vertical="center" wrapText="1"/>
      <protection hidden="1"/>
    </xf>
    <xf numFmtId="185" fontId="126" fillId="21" borderId="91" xfId="0" applyNumberFormat="1" applyFont="1" applyFill="1" applyBorder="1" applyAlignment="1" applyProtection="1">
      <alignment horizontal="center" vertical="center"/>
      <protection locked="0" hidden="1"/>
    </xf>
    <xf numFmtId="185" fontId="126" fillId="21" borderId="91" xfId="0" applyNumberFormat="1" applyFont="1" applyFill="1" applyBorder="1" applyAlignment="1" applyProtection="1">
      <alignment horizontal="center" vertical="center"/>
      <protection locked="0"/>
    </xf>
    <xf numFmtId="185" fontId="126" fillId="21" borderId="106" xfId="0" applyNumberFormat="1" applyFont="1" applyFill="1" applyBorder="1" applyAlignment="1" applyProtection="1">
      <alignment horizontal="center" vertical="center"/>
      <protection locked="0"/>
    </xf>
    <xf numFmtId="184" fontId="53" fillId="24" borderId="151" xfId="0" applyNumberFormat="1" applyFont="1" applyFill="1" applyBorder="1" applyAlignment="1" applyProtection="1">
      <alignment horizontal="center" vertical="center" wrapText="1"/>
      <protection hidden="1"/>
    </xf>
    <xf numFmtId="184" fontId="53" fillId="24" borderId="91" xfId="0" applyNumberFormat="1" applyFont="1" applyFill="1" applyBorder="1" applyAlignment="1" applyProtection="1">
      <alignment horizontal="center" vertical="center" wrapText="1"/>
      <protection hidden="1"/>
    </xf>
    <xf numFmtId="184" fontId="53" fillId="24" borderId="103" xfId="0" applyNumberFormat="1" applyFont="1" applyFill="1" applyBorder="1" applyAlignment="1" applyProtection="1">
      <alignment horizontal="center" vertical="center" wrapText="1"/>
      <protection hidden="1"/>
    </xf>
    <xf numFmtId="184" fontId="21" fillId="24" borderId="151" xfId="0" applyNumberFormat="1" applyFont="1" applyFill="1" applyBorder="1" applyAlignment="1" applyProtection="1">
      <alignment horizontal="center" vertical="center"/>
      <protection hidden="1"/>
    </xf>
    <xf numFmtId="184" fontId="75" fillId="6" borderId="48" xfId="0" applyNumberFormat="1" applyFont="1" applyFill="1" applyBorder="1" applyAlignment="1" applyProtection="1">
      <alignment horizontal="center" vertical="center" wrapText="1"/>
      <protection hidden="1"/>
    </xf>
    <xf numFmtId="184" fontId="75" fillId="6" borderId="26" xfId="0" applyNumberFormat="1" applyFont="1" applyFill="1" applyBorder="1" applyAlignment="1" applyProtection="1">
      <alignment horizontal="center" vertical="center" wrapText="1"/>
      <protection hidden="1"/>
    </xf>
    <xf numFmtId="184" fontId="87" fillId="6" borderId="48" xfId="0" applyNumberFormat="1" applyFont="1" applyFill="1" applyBorder="1" applyAlignment="1" applyProtection="1">
      <alignment horizontal="center" vertical="center" wrapText="1"/>
      <protection hidden="1"/>
    </xf>
    <xf numFmtId="184" fontId="87" fillId="6" borderId="26" xfId="0" applyNumberFormat="1" applyFont="1" applyFill="1" applyBorder="1" applyAlignment="1" applyProtection="1">
      <alignment horizontal="center" vertical="center" wrapText="1"/>
      <protection hidden="1"/>
    </xf>
    <xf numFmtId="184" fontId="87" fillId="6" borderId="49" xfId="0" applyNumberFormat="1" applyFont="1" applyFill="1" applyBorder="1" applyAlignment="1" applyProtection="1">
      <alignment horizontal="center" vertical="center" wrapText="1"/>
      <protection hidden="1"/>
    </xf>
    <xf numFmtId="184" fontId="75" fillId="6" borderId="13" xfId="0" applyNumberFormat="1" applyFont="1" applyFill="1" applyBorder="1" applyAlignment="1" applyProtection="1">
      <alignment horizontal="center" vertical="center" wrapText="1"/>
      <protection hidden="1"/>
    </xf>
    <xf numFmtId="184" fontId="75" fillId="6" borderId="9" xfId="0" applyNumberFormat="1" applyFont="1" applyFill="1" applyBorder="1" applyAlignment="1" applyProtection="1">
      <alignment horizontal="center" vertical="center" wrapText="1"/>
      <protection hidden="1"/>
    </xf>
    <xf numFmtId="184" fontId="87" fillId="6" borderId="13" xfId="0" applyNumberFormat="1" applyFont="1" applyFill="1" applyBorder="1" applyAlignment="1" applyProtection="1">
      <alignment horizontal="center" vertical="center" wrapText="1"/>
      <protection hidden="1"/>
    </xf>
    <xf numFmtId="184" fontId="87" fillId="6" borderId="9" xfId="0" applyNumberFormat="1" applyFont="1" applyFill="1" applyBorder="1" applyAlignment="1" applyProtection="1">
      <alignment horizontal="center" vertical="center" wrapText="1"/>
      <protection hidden="1"/>
    </xf>
    <xf numFmtId="184" fontId="87" fillId="6" borderId="14" xfId="0" applyNumberFormat="1" applyFont="1" applyFill="1" applyBorder="1" applyAlignment="1" applyProtection="1">
      <alignment horizontal="center" vertical="center" wrapText="1"/>
      <protection hidden="1"/>
    </xf>
    <xf numFmtId="184" fontId="75" fillId="6" borderId="63" xfId="0" applyNumberFormat="1" applyFont="1" applyFill="1" applyBorder="1" applyAlignment="1" applyProtection="1">
      <alignment horizontal="center" vertical="center" wrapText="1"/>
      <protection hidden="1"/>
    </xf>
    <xf numFmtId="184" fontId="75" fillId="6" borderId="24" xfId="0" applyNumberFormat="1" applyFont="1" applyFill="1" applyBorder="1" applyAlignment="1" applyProtection="1">
      <alignment horizontal="center" vertical="center" wrapText="1"/>
      <protection hidden="1"/>
    </xf>
    <xf numFmtId="184" fontId="87" fillId="6" borderId="63" xfId="0" applyNumberFormat="1" applyFont="1" applyFill="1" applyBorder="1" applyAlignment="1" applyProtection="1">
      <alignment horizontal="center" vertical="center" wrapText="1"/>
      <protection hidden="1"/>
    </xf>
    <xf numFmtId="184" fontId="87" fillId="6" borderId="16" xfId="0" applyNumberFormat="1" applyFont="1" applyFill="1" applyBorder="1" applyAlignment="1" applyProtection="1">
      <alignment horizontal="center" vertical="center" wrapText="1"/>
      <protection hidden="1"/>
    </xf>
    <xf numFmtId="184" fontId="75" fillId="6" borderId="15" xfId="0" applyNumberFormat="1" applyFont="1" applyFill="1" applyBorder="1" applyAlignment="1" applyProtection="1">
      <alignment horizontal="center" vertical="center" wrapText="1"/>
      <protection hidden="1"/>
    </xf>
    <xf numFmtId="184" fontId="75" fillId="6" borderId="16" xfId="0" applyNumberFormat="1" applyFont="1" applyFill="1" applyBorder="1" applyAlignment="1" applyProtection="1">
      <alignment horizontal="center" vertical="center" wrapText="1"/>
      <protection hidden="1"/>
    </xf>
    <xf numFmtId="184" fontId="87" fillId="6" borderId="15" xfId="0" applyNumberFormat="1" applyFont="1" applyFill="1" applyBorder="1" applyAlignment="1" applyProtection="1">
      <alignment horizontal="center" vertical="center" wrapText="1"/>
      <protection hidden="1"/>
    </xf>
    <xf numFmtId="184" fontId="87" fillId="6" borderId="17" xfId="0" applyNumberFormat="1" applyFont="1" applyFill="1" applyBorder="1" applyAlignment="1" applyProtection="1">
      <alignment horizontal="center" vertical="center" wrapText="1"/>
      <protection hidden="1"/>
    </xf>
    <xf numFmtId="184" fontId="101" fillId="24" borderId="11" xfId="0" applyNumberFormat="1" applyFont="1" applyFill="1" applyBorder="1" applyAlignment="1" applyProtection="1">
      <alignment horizontal="center" vertical="center" wrapText="1"/>
      <protection hidden="1"/>
    </xf>
    <xf numFmtId="184" fontId="101" fillId="24" borderId="11" xfId="0" applyNumberFormat="1" applyFont="1" applyFill="1" applyBorder="1" applyAlignment="1" applyProtection="1">
      <alignment horizontal="center" vertical="center" shrinkToFit="1"/>
      <protection hidden="1"/>
    </xf>
    <xf numFmtId="184" fontId="139" fillId="24" borderId="11" xfId="0" applyNumberFormat="1" applyFont="1" applyFill="1" applyBorder="1" applyAlignment="1" applyProtection="1">
      <alignment horizontal="center" vertical="center" shrinkToFit="1"/>
      <protection hidden="1"/>
    </xf>
    <xf numFmtId="184" fontId="144" fillId="24" borderId="11" xfId="0" applyNumberFormat="1" applyFont="1" applyFill="1" applyBorder="1" applyAlignment="1" applyProtection="1">
      <alignment horizontal="center" vertical="center" shrinkToFit="1"/>
      <protection hidden="1"/>
    </xf>
    <xf numFmtId="184" fontId="101" fillId="24" borderId="58" xfId="0" applyNumberFormat="1" applyFont="1" applyFill="1" applyBorder="1" applyAlignment="1" applyProtection="1">
      <alignment horizontal="center" vertical="center" wrapText="1"/>
      <protection hidden="1"/>
    </xf>
    <xf numFmtId="184" fontId="101" fillId="24" borderId="58" xfId="0" applyNumberFormat="1" applyFont="1" applyFill="1" applyBorder="1" applyAlignment="1" applyProtection="1">
      <alignment horizontal="center" vertical="center" shrinkToFit="1"/>
      <protection hidden="1"/>
    </xf>
    <xf numFmtId="184" fontId="139" fillId="24" borderId="58" xfId="0" applyNumberFormat="1" applyFont="1" applyFill="1" applyBorder="1" applyAlignment="1" applyProtection="1">
      <alignment horizontal="center" vertical="center" shrinkToFit="1"/>
      <protection hidden="1"/>
    </xf>
    <xf numFmtId="184" fontId="144" fillId="24" borderId="58" xfId="0" applyNumberFormat="1" applyFont="1" applyFill="1" applyBorder="1" applyAlignment="1" applyProtection="1">
      <alignment horizontal="center" vertical="center" shrinkToFit="1"/>
      <protection hidden="1"/>
    </xf>
    <xf numFmtId="184" fontId="101" fillId="6" borderId="26" xfId="0" applyNumberFormat="1" applyFont="1" applyFill="1" applyBorder="1" applyAlignment="1" applyProtection="1">
      <alignment horizontal="center" vertical="center" wrapText="1"/>
      <protection hidden="1"/>
    </xf>
    <xf numFmtId="184" fontId="101" fillId="6" borderId="26" xfId="0" applyNumberFormat="1" applyFont="1" applyFill="1" applyBorder="1" applyAlignment="1" applyProtection="1">
      <alignment horizontal="center" vertical="center" shrinkToFit="1"/>
      <protection hidden="1"/>
    </xf>
    <xf numFmtId="184" fontId="139" fillId="6" borderId="26" xfId="0" applyNumberFormat="1" applyFont="1" applyFill="1" applyBorder="1" applyAlignment="1" applyProtection="1">
      <alignment horizontal="center" vertical="center" shrinkToFit="1"/>
      <protection hidden="1"/>
    </xf>
    <xf numFmtId="184" fontId="144" fillId="6" borderId="26" xfId="0" applyNumberFormat="1" applyFont="1" applyFill="1" applyBorder="1" applyAlignment="1" applyProtection="1">
      <alignment horizontal="center" vertical="center" shrinkToFit="1"/>
      <protection hidden="1"/>
    </xf>
    <xf numFmtId="184" fontId="101" fillId="6" borderId="43" xfId="0" applyNumberFormat="1" applyFont="1" applyFill="1" applyBorder="1" applyAlignment="1" applyProtection="1">
      <alignment horizontal="center" vertical="center" wrapText="1"/>
      <protection hidden="1"/>
    </xf>
    <xf numFmtId="184" fontId="101" fillId="6" borderId="43" xfId="0" applyNumberFormat="1" applyFont="1" applyFill="1" applyBorder="1" applyAlignment="1" applyProtection="1">
      <alignment horizontal="center" vertical="center" shrinkToFit="1"/>
      <protection hidden="1"/>
    </xf>
    <xf numFmtId="184" fontId="139" fillId="6" borderId="43" xfId="0" applyNumberFormat="1" applyFont="1" applyFill="1" applyBorder="1" applyAlignment="1" applyProtection="1">
      <alignment horizontal="center" vertical="center" shrinkToFit="1"/>
      <protection hidden="1"/>
    </xf>
    <xf numFmtId="184" fontId="144" fillId="6" borderId="43" xfId="0" applyNumberFormat="1" applyFont="1" applyFill="1" applyBorder="1" applyAlignment="1" applyProtection="1">
      <alignment horizontal="center" vertical="center" shrinkToFit="1"/>
      <protection hidden="1"/>
    </xf>
    <xf numFmtId="184" fontId="144" fillId="24" borderId="21" xfId="0" applyNumberFormat="1" applyFont="1" applyFill="1" applyBorder="1" applyAlignment="1" applyProtection="1">
      <alignment horizontal="center" vertical="center" shrinkToFit="1"/>
      <protection hidden="1"/>
    </xf>
    <xf numFmtId="184" fontId="144" fillId="24" borderId="59" xfId="0" applyNumberFormat="1" applyFont="1" applyFill="1" applyBorder="1" applyAlignment="1" applyProtection="1">
      <alignment horizontal="center" vertical="center" shrinkToFit="1"/>
      <protection hidden="1"/>
    </xf>
    <xf numFmtId="184" fontId="67" fillId="6" borderId="11" xfId="0" applyNumberFormat="1" applyFont="1" applyFill="1" applyBorder="1" applyAlignment="1" applyProtection="1">
      <alignment horizontal="center" vertical="center" shrinkToFit="1"/>
      <protection hidden="1"/>
    </xf>
    <xf numFmtId="184" fontId="88" fillId="6" borderId="11" xfId="0" applyNumberFormat="1" applyFont="1" applyFill="1" applyBorder="1" applyAlignment="1" applyProtection="1">
      <alignment horizontal="center" vertical="center" shrinkToFit="1"/>
      <protection hidden="1"/>
    </xf>
    <xf numFmtId="184" fontId="88" fillId="6" borderId="12" xfId="0" applyNumberFormat="1" applyFont="1" applyFill="1" applyBorder="1" applyAlignment="1" applyProtection="1">
      <alignment horizontal="center" vertical="center" shrinkToFit="1"/>
      <protection hidden="1"/>
    </xf>
    <xf numFmtId="184" fontId="67" fillId="6" borderId="9" xfId="0" applyNumberFormat="1" applyFont="1" applyFill="1" applyBorder="1" applyAlignment="1" applyProtection="1">
      <alignment horizontal="center" vertical="center" shrinkToFit="1"/>
      <protection hidden="1"/>
    </xf>
    <xf numFmtId="184" fontId="88" fillId="6" borderId="9" xfId="0" applyNumberFormat="1" applyFont="1" applyFill="1" applyBorder="1" applyAlignment="1" applyProtection="1">
      <alignment horizontal="center" vertical="center" shrinkToFit="1"/>
      <protection hidden="1"/>
    </xf>
    <xf numFmtId="184" fontId="88" fillId="6" borderId="14" xfId="0" applyNumberFormat="1" applyFont="1" applyFill="1" applyBorder="1" applyAlignment="1" applyProtection="1">
      <alignment horizontal="center" vertical="center" shrinkToFit="1"/>
      <protection hidden="1"/>
    </xf>
    <xf numFmtId="184" fontId="57" fillId="6" borderId="16" xfId="0" applyNumberFormat="1" applyFont="1" applyFill="1" applyBorder="1" applyAlignment="1" applyProtection="1">
      <alignment horizontal="center" vertical="center" textRotation="90" shrinkToFit="1"/>
      <protection hidden="1"/>
    </xf>
    <xf numFmtId="184" fontId="57" fillId="6" borderId="17" xfId="0" applyNumberFormat="1" applyFont="1" applyFill="1" applyBorder="1" applyAlignment="1" applyProtection="1">
      <alignment horizontal="center" vertical="center" textRotation="90" shrinkToFit="1"/>
      <protection hidden="1"/>
    </xf>
    <xf numFmtId="184" fontId="88" fillId="6" borderId="11" xfId="0" applyNumberFormat="1" applyFont="1" applyFill="1" applyBorder="1" applyAlignment="1" applyProtection="1">
      <alignment horizontal="center" vertical="center" shrinkToFit="1"/>
      <protection locked="0"/>
    </xf>
    <xf numFmtId="184" fontId="88" fillId="6" borderId="9" xfId="0" applyNumberFormat="1" applyFont="1" applyFill="1" applyBorder="1" applyAlignment="1" applyProtection="1">
      <alignment horizontal="center" vertical="center" shrinkToFit="1"/>
      <protection locked="0"/>
    </xf>
    <xf numFmtId="184" fontId="88" fillId="6" borderId="16" xfId="0" applyNumberFormat="1" applyFont="1" applyFill="1" applyBorder="1" applyAlignment="1" applyProtection="1">
      <alignment horizontal="center" vertical="center" shrinkToFit="1"/>
      <protection locked="0"/>
    </xf>
    <xf numFmtId="187" fontId="96" fillId="24" borderId="14" xfId="0" applyNumberFormat="1" applyFont="1" applyFill="1" applyBorder="1" applyAlignment="1" applyProtection="1">
      <alignment horizontal="center" vertical="center"/>
      <protection hidden="1"/>
    </xf>
    <xf numFmtId="182" fontId="95" fillId="20" borderId="9" xfId="0" applyNumberFormat="1" applyFont="1" applyFill="1" applyBorder="1" applyAlignment="1" applyProtection="1">
      <alignment horizontal="center" vertical="center" wrapText="1"/>
      <protection hidden="1"/>
    </xf>
    <xf numFmtId="0" fontId="95" fillId="20" borderId="9" xfId="0" applyFont="1" applyFill="1" applyBorder="1" applyAlignment="1" applyProtection="1">
      <alignment horizontal="center" vertical="center" wrapText="1"/>
      <protection hidden="1"/>
    </xf>
    <xf numFmtId="182" fontId="95" fillId="20" borderId="14" xfId="0" applyNumberFormat="1" applyFont="1" applyFill="1" applyBorder="1" applyAlignment="1" applyProtection="1">
      <alignment horizontal="center" vertical="center" wrapText="1"/>
      <protection hidden="1"/>
    </xf>
    <xf numFmtId="0" fontId="95" fillId="20" borderId="14" xfId="0" applyFont="1" applyFill="1" applyBorder="1" applyAlignment="1" applyProtection="1">
      <alignment horizontal="center" vertical="center" wrapText="1"/>
      <protection hidden="1"/>
    </xf>
    <xf numFmtId="0" fontId="95" fillId="20" borderId="16" xfId="0" applyFont="1" applyFill="1" applyBorder="1" applyAlignment="1" applyProtection="1">
      <alignment horizontal="center" vertical="center" wrapText="1"/>
      <protection hidden="1"/>
    </xf>
    <xf numFmtId="0" fontId="95" fillId="20" borderId="17" xfId="0" applyFont="1" applyFill="1" applyBorder="1" applyAlignment="1" applyProtection="1">
      <alignment horizontal="center" vertical="center" wrapText="1"/>
      <protection hidden="1"/>
    </xf>
    <xf numFmtId="0" fontId="0" fillId="4" borderId="0" xfId="0" applyFill="1" applyAlignment="1" applyProtection="1">
      <alignment horizontal="center"/>
      <protection hidden="1"/>
    </xf>
    <xf numFmtId="0" fontId="3" fillId="4" borderId="30" xfId="0" applyFont="1" applyFill="1" applyBorder="1" applyAlignment="1" applyProtection="1">
      <alignment horizontal="center"/>
      <protection hidden="1"/>
    </xf>
    <xf numFmtId="0" fontId="112" fillId="4" borderId="0" xfId="0" applyFont="1" applyFill="1" applyAlignment="1" applyProtection="1">
      <alignment horizontal="center"/>
      <protection hidden="1"/>
    </xf>
    <xf numFmtId="0" fontId="3" fillId="4" borderId="61" xfId="0" applyFont="1" applyFill="1" applyBorder="1" applyAlignment="1" applyProtection="1">
      <alignment horizontal="center"/>
      <protection hidden="1"/>
    </xf>
    <xf numFmtId="0" fontId="3" fillId="4" borderId="75" xfId="0" applyFont="1" applyFill="1" applyBorder="1" applyAlignment="1" applyProtection="1">
      <alignment horizontal="center"/>
      <protection hidden="1"/>
    </xf>
    <xf numFmtId="0" fontId="69" fillId="20" borderId="0" xfId="0" applyFont="1" applyFill="1" applyAlignment="1" applyProtection="1">
      <alignment horizontal="center" vertical="center" wrapText="1"/>
      <protection hidden="1"/>
    </xf>
    <xf numFmtId="0" fontId="88" fillId="20" borderId="27" xfId="0" applyFont="1" applyFill="1" applyBorder="1" applyAlignment="1" applyProtection="1">
      <alignment horizontal="center" vertical="center"/>
      <protection hidden="1"/>
    </xf>
    <xf numFmtId="0" fontId="88" fillId="20" borderId="28" xfId="0" applyFont="1" applyFill="1" applyBorder="1" applyAlignment="1" applyProtection="1">
      <alignment horizontal="center" vertical="center"/>
      <protection hidden="1"/>
    </xf>
    <xf numFmtId="0" fontId="88" fillId="20" borderId="29" xfId="0" applyFont="1" applyFill="1" applyBorder="1" applyAlignment="1" applyProtection="1">
      <alignment horizontal="center" vertical="center"/>
      <protection hidden="1"/>
    </xf>
    <xf numFmtId="0" fontId="114" fillId="20" borderId="72" xfId="0" applyFont="1" applyFill="1" applyBorder="1" applyAlignment="1" applyProtection="1">
      <alignment horizontal="justify" vertical="justify" wrapText="1"/>
      <protection hidden="1"/>
    </xf>
    <xf numFmtId="0" fontId="114" fillId="20" borderId="0" xfId="0" applyFont="1" applyFill="1" applyBorder="1" applyAlignment="1" applyProtection="1">
      <alignment horizontal="justify" vertical="justify" wrapText="1"/>
      <protection hidden="1"/>
    </xf>
    <xf numFmtId="0" fontId="114" fillId="20" borderId="75" xfId="0" applyFont="1" applyFill="1" applyBorder="1" applyAlignment="1" applyProtection="1">
      <alignment horizontal="justify" vertical="justify" wrapText="1"/>
      <protection hidden="1"/>
    </xf>
    <xf numFmtId="0" fontId="114" fillId="20" borderId="76" xfId="0" applyFont="1" applyFill="1" applyBorder="1" applyAlignment="1" applyProtection="1">
      <alignment horizontal="justify" vertical="justify" wrapText="1"/>
      <protection hidden="1"/>
    </xf>
    <xf numFmtId="0" fontId="114" fillId="20" borderId="77" xfId="0" applyFont="1" applyFill="1" applyBorder="1" applyAlignment="1" applyProtection="1">
      <alignment horizontal="justify" vertical="justify" wrapText="1"/>
      <protection hidden="1"/>
    </xf>
    <xf numFmtId="0" fontId="114" fillId="20" borderId="78" xfId="0" applyFont="1" applyFill="1" applyBorder="1" applyAlignment="1" applyProtection="1">
      <alignment horizontal="justify" vertical="justify" wrapText="1"/>
      <protection hidden="1"/>
    </xf>
    <xf numFmtId="0" fontId="56" fillId="20" borderId="72" xfId="0" applyFont="1" applyFill="1" applyBorder="1" applyAlignment="1" applyProtection="1">
      <alignment horizontal="justify" vertical="justify" wrapText="1"/>
      <protection hidden="1"/>
    </xf>
    <xf numFmtId="0" fontId="56" fillId="20" borderId="0" xfId="0" applyFont="1" applyFill="1" applyBorder="1" applyAlignment="1" applyProtection="1">
      <alignment horizontal="justify" vertical="justify" wrapText="1"/>
      <protection hidden="1"/>
    </xf>
    <xf numFmtId="0" fontId="56" fillId="20" borderId="75" xfId="0" applyFont="1" applyFill="1" applyBorder="1" applyAlignment="1" applyProtection="1">
      <alignment horizontal="justify" vertical="justify" wrapText="1"/>
      <protection hidden="1"/>
    </xf>
    <xf numFmtId="0" fontId="96" fillId="20" borderId="76" xfId="0" applyFont="1" applyFill="1" applyBorder="1" applyAlignment="1" applyProtection="1">
      <alignment horizontal="justify" vertical="justify" wrapText="1"/>
      <protection hidden="1"/>
    </xf>
    <xf numFmtId="0" fontId="96" fillId="20" borderId="77" xfId="0" applyFont="1" applyFill="1" applyBorder="1" applyAlignment="1" applyProtection="1">
      <alignment horizontal="justify" vertical="justify" wrapText="1"/>
      <protection hidden="1"/>
    </xf>
    <xf numFmtId="0" fontId="96" fillId="20" borderId="78" xfId="0" applyFont="1" applyFill="1" applyBorder="1" applyAlignment="1" applyProtection="1">
      <alignment horizontal="justify" vertical="justify" wrapText="1"/>
      <protection hidden="1"/>
    </xf>
    <xf numFmtId="0" fontId="95" fillId="20" borderId="13" xfId="0" applyFont="1" applyFill="1" applyBorder="1" applyAlignment="1" applyProtection="1">
      <alignment horizontal="center" vertical="center" wrapText="1"/>
      <protection hidden="1"/>
    </xf>
    <xf numFmtId="170" fontId="95" fillId="20" borderId="9" xfId="0" applyNumberFormat="1" applyFont="1" applyFill="1" applyBorder="1" applyAlignment="1" applyProtection="1">
      <alignment horizontal="center" vertical="center" wrapText="1"/>
      <protection hidden="1"/>
    </xf>
    <xf numFmtId="0" fontId="95" fillId="20" borderId="15" xfId="0" applyFont="1" applyFill="1" applyBorder="1" applyAlignment="1" applyProtection="1">
      <alignment horizontal="center" vertical="center" wrapText="1"/>
      <protection hidden="1"/>
    </xf>
    <xf numFmtId="170" fontId="95" fillId="20" borderId="16" xfId="0" applyNumberFormat="1" applyFont="1" applyFill="1" applyBorder="1" applyAlignment="1" applyProtection="1">
      <alignment horizontal="center" vertical="center" wrapText="1"/>
      <protection hidden="1"/>
    </xf>
    <xf numFmtId="0" fontId="95" fillId="20" borderId="72" xfId="0" applyFont="1" applyFill="1" applyBorder="1" applyAlignment="1" applyProtection="1">
      <alignment horizontal="justify" vertical="justify" wrapText="1"/>
      <protection hidden="1"/>
    </xf>
    <xf numFmtId="0" fontId="95" fillId="20" borderId="0" xfId="0" applyFont="1" applyFill="1" applyBorder="1" applyAlignment="1" applyProtection="1">
      <alignment horizontal="justify" vertical="justify" wrapText="1"/>
      <protection hidden="1"/>
    </xf>
    <xf numFmtId="0" fontId="95" fillId="20" borderId="75" xfId="0" applyFont="1" applyFill="1" applyBorder="1" applyAlignment="1" applyProtection="1">
      <alignment horizontal="justify" vertical="justify" wrapText="1"/>
      <protection hidden="1"/>
    </xf>
    <xf numFmtId="0" fontId="95" fillId="20" borderId="33" xfId="0" applyFont="1" applyFill="1" applyBorder="1" applyAlignment="1" applyProtection="1">
      <alignment horizontal="justify" vertical="justify" wrapText="1"/>
      <protection hidden="1"/>
    </xf>
    <xf numFmtId="0" fontId="95" fillId="20" borderId="30" xfId="0" applyFont="1" applyFill="1" applyBorder="1" applyAlignment="1" applyProtection="1">
      <alignment horizontal="justify" vertical="justify" wrapText="1"/>
      <protection hidden="1"/>
    </xf>
    <xf numFmtId="0" fontId="95" fillId="20" borderId="34" xfId="0" applyFont="1" applyFill="1" applyBorder="1" applyAlignment="1" applyProtection="1">
      <alignment horizontal="justify" vertical="justify" wrapText="1"/>
      <protection hidden="1"/>
    </xf>
    <xf numFmtId="0" fontId="59" fillId="20" borderId="33" xfId="0" applyFont="1" applyFill="1" applyBorder="1" applyAlignment="1" applyProtection="1">
      <alignment horizontal="center" vertical="center" wrapText="1"/>
      <protection hidden="1"/>
    </xf>
    <xf numFmtId="0" fontId="59" fillId="20" borderId="30" xfId="0" applyFont="1" applyFill="1" applyBorder="1" applyAlignment="1" applyProtection="1">
      <alignment horizontal="center" vertical="center" wrapText="1"/>
      <protection hidden="1"/>
    </xf>
    <xf numFmtId="0" fontId="59" fillId="20" borderId="34" xfId="0" applyFont="1" applyFill="1" applyBorder="1" applyAlignment="1" applyProtection="1">
      <alignment horizontal="center" vertical="center" wrapText="1"/>
      <protection hidden="1"/>
    </xf>
    <xf numFmtId="0" fontId="113" fillId="20" borderId="27" xfId="0" applyFont="1" applyFill="1" applyBorder="1" applyAlignment="1" applyProtection="1">
      <alignment horizontal="center" vertical="center"/>
      <protection hidden="1"/>
    </xf>
    <xf numFmtId="0" fontId="113" fillId="20" borderId="28" xfId="0" applyFont="1" applyFill="1" applyBorder="1" applyAlignment="1" applyProtection="1">
      <alignment horizontal="center" vertical="center"/>
      <protection hidden="1"/>
    </xf>
    <xf numFmtId="0" fontId="113" fillId="20" borderId="29" xfId="0" applyFont="1" applyFill="1" applyBorder="1" applyAlignment="1" applyProtection="1">
      <alignment horizontal="center" vertical="center"/>
      <protection hidden="1"/>
    </xf>
    <xf numFmtId="0" fontId="25" fillId="8" borderId="41" xfId="0" applyFont="1" applyFill="1" applyBorder="1" applyAlignment="1" applyProtection="1">
      <alignment horizontal="center" vertical="center" wrapText="1"/>
      <protection hidden="1"/>
    </xf>
    <xf numFmtId="0" fontId="25" fillId="8" borderId="19" xfId="0" applyFont="1" applyFill="1" applyBorder="1" applyAlignment="1" applyProtection="1">
      <alignment horizontal="center" vertical="center" wrapText="1"/>
      <protection hidden="1"/>
    </xf>
    <xf numFmtId="49" fontId="10" fillId="9" borderId="22" xfId="0" applyNumberFormat="1" applyFont="1" applyFill="1" applyBorder="1" applyAlignment="1" applyProtection="1">
      <alignment horizontal="center" wrapText="1"/>
      <protection locked="0"/>
    </xf>
    <xf numFmtId="49" fontId="10" fillId="9" borderId="36" xfId="0" applyNumberFormat="1" applyFont="1" applyFill="1" applyBorder="1" applyAlignment="1" applyProtection="1">
      <alignment horizontal="center" wrapText="1"/>
      <protection locked="0"/>
    </xf>
    <xf numFmtId="49" fontId="10" fillId="9" borderId="32" xfId="0" applyNumberFormat="1" applyFont="1" applyFill="1" applyBorder="1" applyAlignment="1" applyProtection="1">
      <alignment horizontal="center" wrapText="1"/>
      <protection locked="0"/>
    </xf>
    <xf numFmtId="49" fontId="10" fillId="9" borderId="22" xfId="0" applyNumberFormat="1" applyFont="1" applyFill="1" applyBorder="1" applyAlignment="1" applyProtection="1">
      <alignment horizontal="center" vertical="center" wrapText="1"/>
      <protection locked="0"/>
    </xf>
    <xf numFmtId="49" fontId="10" fillId="9" borderId="36" xfId="0" applyNumberFormat="1" applyFont="1" applyFill="1" applyBorder="1" applyAlignment="1" applyProtection="1">
      <alignment horizontal="center" vertical="center" wrapText="1"/>
      <protection locked="0"/>
    </xf>
    <xf numFmtId="49" fontId="10" fillId="9" borderId="32" xfId="0" applyNumberFormat="1" applyFont="1" applyFill="1" applyBorder="1" applyAlignment="1" applyProtection="1">
      <alignment horizontal="center" vertical="center" wrapText="1"/>
      <protection locked="0"/>
    </xf>
    <xf numFmtId="0" fontId="116" fillId="8" borderId="22" xfId="0" applyFont="1" applyFill="1" applyBorder="1" applyAlignment="1" applyProtection="1">
      <alignment horizontal="right" vertical="center" indent="5"/>
      <protection hidden="1"/>
    </xf>
    <xf numFmtId="0" fontId="116" fillId="8" borderId="36" xfId="0" applyFont="1" applyFill="1" applyBorder="1" applyAlignment="1" applyProtection="1">
      <alignment horizontal="right" vertical="center" indent="5"/>
      <protection hidden="1"/>
    </xf>
    <xf numFmtId="0" fontId="116" fillId="8" borderId="19" xfId="0" applyFont="1" applyFill="1" applyBorder="1" applyAlignment="1" applyProtection="1">
      <alignment horizontal="right" vertical="center" indent="5"/>
      <protection hidden="1"/>
    </xf>
    <xf numFmtId="1" fontId="27" fillId="9" borderId="22" xfId="0" applyNumberFormat="1" applyFont="1" applyFill="1" applyBorder="1" applyAlignment="1" applyProtection="1">
      <alignment horizontal="center" vertical="center" wrapText="1"/>
      <protection locked="0"/>
    </xf>
    <xf numFmtId="1" fontId="27" fillId="9" borderId="36" xfId="0" applyNumberFormat="1" applyFont="1" applyFill="1" applyBorder="1" applyAlignment="1" applyProtection="1">
      <alignment horizontal="center" vertical="center" wrapText="1"/>
      <protection locked="0"/>
    </xf>
    <xf numFmtId="0" fontId="25" fillId="8" borderId="36" xfId="0" applyFont="1" applyFill="1" applyBorder="1" applyAlignment="1" applyProtection="1">
      <alignment horizontal="center" vertical="center" wrapText="1"/>
      <protection hidden="1"/>
    </xf>
    <xf numFmtId="0" fontId="27" fillId="9" borderId="23" xfId="0" applyFont="1" applyFill="1" applyBorder="1" applyAlignment="1" applyProtection="1">
      <alignment horizontal="center" vertical="center" wrapText="1"/>
      <protection locked="0"/>
    </xf>
    <xf numFmtId="0" fontId="27" fillId="9" borderId="37" xfId="0" applyFont="1" applyFill="1" applyBorder="1" applyAlignment="1" applyProtection="1">
      <alignment horizontal="center" vertical="center" wrapText="1"/>
      <protection locked="0"/>
    </xf>
    <xf numFmtId="0" fontId="68" fillId="8" borderId="42" xfId="0" applyFont="1" applyFill="1" applyBorder="1" applyAlignment="1" applyProtection="1">
      <alignment horizontal="center" vertical="center" wrapText="1"/>
      <protection hidden="1"/>
    </xf>
    <xf numFmtId="0" fontId="68" fillId="8" borderId="20" xfId="0" applyFont="1" applyFill="1" applyBorder="1" applyAlignment="1" applyProtection="1">
      <alignment horizontal="center" vertical="center" wrapText="1"/>
      <protection hidden="1"/>
    </xf>
    <xf numFmtId="0" fontId="0" fillId="7" borderId="0" xfId="0" applyFill="1" applyAlignment="1" applyProtection="1">
      <alignment horizontal="center"/>
      <protection hidden="1"/>
    </xf>
    <xf numFmtId="1" fontId="10" fillId="9" borderId="22" xfId="0" applyNumberFormat="1" applyFont="1" applyFill="1" applyBorder="1" applyAlignment="1" applyProtection="1">
      <alignment horizontal="center" vertical="center" wrapText="1"/>
      <protection locked="0"/>
    </xf>
    <xf numFmtId="1" fontId="10" fillId="9" borderId="36" xfId="0" applyNumberFormat="1" applyFont="1" applyFill="1" applyBorder="1" applyAlignment="1" applyProtection="1">
      <alignment horizontal="center" vertical="center" wrapText="1"/>
      <protection locked="0"/>
    </xf>
    <xf numFmtId="49" fontId="25" fillId="8" borderId="41" xfId="0" applyNumberFormat="1" applyFont="1" applyFill="1" applyBorder="1" applyAlignment="1" applyProtection="1">
      <alignment horizontal="center" vertical="top" wrapText="1"/>
      <protection hidden="1"/>
    </xf>
    <xf numFmtId="49" fontId="25" fillId="8" borderId="19" xfId="0" applyNumberFormat="1" applyFont="1" applyFill="1" applyBorder="1" applyAlignment="1" applyProtection="1">
      <alignment horizontal="center" vertical="top" wrapText="1"/>
      <protection hidden="1"/>
    </xf>
    <xf numFmtId="0" fontId="26" fillId="7" borderId="77" xfId="0" applyFont="1" applyFill="1" applyBorder="1" applyAlignment="1" applyProtection="1">
      <alignment horizontal="center" vertical="center"/>
      <protection hidden="1"/>
    </xf>
    <xf numFmtId="0" fontId="10" fillId="9" borderId="22" xfId="0" applyFont="1" applyFill="1" applyBorder="1" applyAlignment="1" applyProtection="1">
      <alignment horizontal="center" vertical="center" wrapText="1"/>
      <protection locked="0"/>
    </xf>
    <xf numFmtId="0" fontId="10" fillId="9" borderId="36" xfId="0" applyFont="1" applyFill="1" applyBorder="1" applyAlignment="1" applyProtection="1">
      <alignment horizontal="center" vertical="center" wrapText="1"/>
      <protection locked="0"/>
    </xf>
    <xf numFmtId="0" fontId="36" fillId="10" borderId="33" xfId="0" applyFont="1" applyFill="1" applyBorder="1" applyAlignment="1" applyProtection="1">
      <alignment horizontal="center" wrapText="1"/>
      <protection hidden="1"/>
    </xf>
    <xf numFmtId="0" fontId="36" fillId="10" borderId="30" xfId="0" applyFont="1" applyFill="1" applyBorder="1" applyAlignment="1" applyProtection="1">
      <alignment horizontal="center" wrapText="1"/>
      <protection hidden="1"/>
    </xf>
    <xf numFmtId="0" fontId="36" fillId="10" borderId="34" xfId="0" applyFont="1" applyFill="1" applyBorder="1" applyAlignment="1" applyProtection="1">
      <alignment horizontal="center" wrapText="1"/>
      <protection hidden="1"/>
    </xf>
    <xf numFmtId="0" fontId="117" fillId="6" borderId="28" xfId="0" applyFont="1" applyFill="1" applyBorder="1" applyAlignment="1" applyProtection="1">
      <alignment horizontal="center"/>
      <protection locked="0"/>
    </xf>
    <xf numFmtId="0" fontId="117" fillId="6" borderId="29" xfId="0" applyFont="1" applyFill="1" applyBorder="1" applyAlignment="1" applyProtection="1">
      <alignment horizontal="center"/>
      <protection locked="0"/>
    </xf>
    <xf numFmtId="0" fontId="10" fillId="9" borderId="21" xfId="0" applyFont="1" applyFill="1" applyBorder="1" applyAlignment="1" applyProtection="1">
      <alignment horizontal="center" vertical="center" wrapText="1"/>
      <protection locked="0"/>
    </xf>
    <xf numFmtId="0" fontId="10" fillId="9" borderId="38" xfId="0" applyFont="1" applyFill="1" applyBorder="1" applyAlignment="1" applyProtection="1">
      <alignment horizontal="center" vertical="center" wrapText="1"/>
      <protection locked="0"/>
    </xf>
    <xf numFmtId="0" fontId="25" fillId="8" borderId="79" xfId="0" applyFont="1" applyFill="1" applyBorder="1" applyAlignment="1" applyProtection="1">
      <alignment horizontal="center" vertical="center" wrapText="1"/>
      <protection hidden="1"/>
    </xf>
    <xf numFmtId="0" fontId="25" fillId="8" borderId="18" xfId="0" applyFont="1" applyFill="1" applyBorder="1" applyAlignment="1" applyProtection="1">
      <alignment horizontal="center" vertical="center" wrapText="1"/>
      <protection hidden="1"/>
    </xf>
    <xf numFmtId="0" fontId="16" fillId="7" borderId="30" xfId="0" applyFont="1" applyFill="1" applyBorder="1" applyAlignment="1" applyProtection="1">
      <alignment horizontal="center"/>
      <protection hidden="1"/>
    </xf>
    <xf numFmtId="0" fontId="73" fillId="8" borderId="74" xfId="0" applyFont="1" applyFill="1" applyBorder="1" applyAlignment="1" applyProtection="1">
      <alignment horizontal="center" vertical="center"/>
      <protection hidden="1"/>
    </xf>
    <xf numFmtId="0" fontId="73" fillId="8" borderId="80" xfId="0" applyFont="1" applyFill="1" applyBorder="1" applyAlignment="1" applyProtection="1">
      <alignment horizontal="center" vertical="center"/>
      <protection hidden="1"/>
    </xf>
    <xf numFmtId="0" fontId="118" fillId="8" borderId="33" xfId="0" applyFont="1" applyFill="1" applyBorder="1" applyAlignment="1" applyProtection="1">
      <alignment horizontal="center" vertical="center"/>
      <protection hidden="1"/>
    </xf>
    <xf numFmtId="0" fontId="118" fillId="8" borderId="30" xfId="0" applyFont="1" applyFill="1" applyBorder="1" applyAlignment="1" applyProtection="1">
      <alignment horizontal="center" vertical="center"/>
      <protection hidden="1"/>
    </xf>
    <xf numFmtId="0" fontId="118" fillId="8" borderId="34" xfId="0" applyFont="1" applyFill="1" applyBorder="1" applyAlignment="1" applyProtection="1">
      <alignment horizontal="center" vertical="center"/>
      <protection hidden="1"/>
    </xf>
    <xf numFmtId="0" fontId="118" fillId="8" borderId="76" xfId="0" applyFont="1" applyFill="1" applyBorder="1" applyAlignment="1" applyProtection="1">
      <alignment horizontal="center" vertical="center"/>
      <protection hidden="1"/>
    </xf>
    <xf numFmtId="0" fontId="118" fillId="8" borderId="77" xfId="0" applyFont="1" applyFill="1" applyBorder="1" applyAlignment="1" applyProtection="1">
      <alignment horizontal="center" vertical="center"/>
      <protection hidden="1"/>
    </xf>
    <xf numFmtId="0" fontId="118" fillId="8" borderId="78" xfId="0" applyFont="1" applyFill="1" applyBorder="1" applyAlignment="1" applyProtection="1">
      <alignment horizontal="center" vertical="center"/>
      <protection hidden="1"/>
    </xf>
    <xf numFmtId="0" fontId="72" fillId="8" borderId="35" xfId="0" applyFont="1" applyFill="1" applyBorder="1" applyAlignment="1" applyProtection="1">
      <alignment horizontal="center" vertical="center" wrapText="1"/>
      <protection hidden="1"/>
    </xf>
    <xf numFmtId="0" fontId="72" fillId="8" borderId="57" xfId="0" applyFont="1" applyFill="1" applyBorder="1" applyAlignment="1" applyProtection="1">
      <alignment horizontal="center" vertical="center" wrapText="1"/>
      <protection hidden="1"/>
    </xf>
    <xf numFmtId="167" fontId="27" fillId="9" borderId="35" xfId="0" applyNumberFormat="1" applyFont="1" applyFill="1" applyBorder="1" applyAlignment="1" applyProtection="1">
      <alignment horizontal="center" vertical="center"/>
      <protection locked="0"/>
    </xf>
    <xf numFmtId="167" fontId="27" fillId="9" borderId="57" xfId="0" applyNumberFormat="1" applyFont="1" applyFill="1" applyBorder="1" applyAlignment="1" applyProtection="1">
      <alignment horizontal="center" vertical="center"/>
      <protection locked="0"/>
    </xf>
    <xf numFmtId="0" fontId="25" fillId="31" borderId="79" xfId="0" applyFont="1" applyFill="1" applyBorder="1" applyAlignment="1" applyProtection="1">
      <alignment horizontal="center" vertical="center"/>
      <protection hidden="1"/>
    </xf>
    <xf numFmtId="0" fontId="25" fillId="31" borderId="38" xfId="0" applyFont="1" applyFill="1" applyBorder="1" applyAlignment="1" applyProtection="1">
      <alignment horizontal="center" vertical="center"/>
      <protection hidden="1"/>
    </xf>
    <xf numFmtId="0" fontId="25" fillId="31" borderId="31" xfId="0" applyFont="1" applyFill="1" applyBorder="1" applyAlignment="1" applyProtection="1">
      <alignment horizontal="center" vertical="center"/>
      <protection hidden="1"/>
    </xf>
    <xf numFmtId="0" fontId="34" fillId="7" borderId="77" xfId="0" applyFont="1" applyFill="1" applyBorder="1" applyAlignment="1" applyProtection="1">
      <alignment horizontal="center"/>
      <protection hidden="1"/>
    </xf>
    <xf numFmtId="0" fontId="35" fillId="8" borderId="28" xfId="0" applyFont="1" applyFill="1" applyBorder="1" applyAlignment="1" applyProtection="1">
      <alignment horizontal="center" vertical="center"/>
      <protection hidden="1"/>
    </xf>
    <xf numFmtId="0" fontId="35" fillId="8" borderId="80" xfId="0" applyFont="1" applyFill="1" applyBorder="1" applyAlignment="1" applyProtection="1">
      <alignment horizontal="center" vertical="center"/>
      <protection hidden="1"/>
    </xf>
    <xf numFmtId="164" fontId="22" fillId="9" borderId="74" xfId="0" applyNumberFormat="1" applyFont="1" applyFill="1" applyBorder="1" applyAlignment="1" applyProtection="1">
      <alignment horizontal="right" vertical="center"/>
      <protection locked="0"/>
    </xf>
    <xf numFmtId="164" fontId="22" fillId="9" borderId="28" xfId="0" applyNumberFormat="1" applyFont="1" applyFill="1" applyBorder="1" applyAlignment="1" applyProtection="1">
      <alignment horizontal="right" vertical="center"/>
      <protection locked="0"/>
    </xf>
    <xf numFmtId="0" fontId="25" fillId="8" borderId="79" xfId="0" applyFont="1" applyFill="1" applyBorder="1" applyAlignment="1" applyProtection="1">
      <alignment vertical="center" wrapText="1"/>
      <protection hidden="1"/>
    </xf>
    <xf numFmtId="0" fontId="25" fillId="8" borderId="38" xfId="0" applyFont="1" applyFill="1" applyBorder="1" applyAlignment="1" applyProtection="1">
      <alignment vertical="center" wrapText="1"/>
      <protection hidden="1"/>
    </xf>
    <xf numFmtId="0" fontId="25" fillId="8" borderId="42" xfId="0" applyFont="1" applyFill="1" applyBorder="1" applyAlignment="1" applyProtection="1">
      <alignment vertical="center" wrapText="1"/>
      <protection hidden="1"/>
    </xf>
    <xf numFmtId="0" fontId="25" fillId="8" borderId="37" xfId="0" applyFont="1" applyFill="1" applyBorder="1" applyAlignment="1" applyProtection="1">
      <alignment vertical="center" wrapText="1"/>
      <protection hidden="1"/>
    </xf>
    <xf numFmtId="49" fontId="10" fillId="9" borderId="38" xfId="0" applyNumberFormat="1" applyFont="1" applyFill="1" applyBorder="1" applyAlignment="1" applyProtection="1">
      <alignment horizontal="center" vertical="center" wrapText="1"/>
      <protection locked="0"/>
    </xf>
    <xf numFmtId="49" fontId="10" fillId="9" borderId="31" xfId="0" applyNumberFormat="1" applyFont="1" applyFill="1" applyBorder="1" applyAlignment="1" applyProtection="1">
      <alignment horizontal="center" vertical="center" wrapText="1"/>
      <protection locked="0"/>
    </xf>
    <xf numFmtId="0" fontId="26" fillId="23" borderId="33" xfId="0" applyFont="1" applyFill="1" applyBorder="1" applyAlignment="1" applyProtection="1">
      <alignment horizontal="center" vertical="center"/>
      <protection hidden="1"/>
    </xf>
    <xf numFmtId="0" fontId="26" fillId="23" borderId="30" xfId="0" applyFont="1" applyFill="1" applyBorder="1" applyAlignment="1" applyProtection="1">
      <alignment horizontal="center" vertical="center"/>
      <protection hidden="1"/>
    </xf>
    <xf numFmtId="0" fontId="26" fillId="23" borderId="34" xfId="0" applyFont="1" applyFill="1" applyBorder="1" applyAlignment="1" applyProtection="1">
      <alignment horizontal="center" vertical="center"/>
      <protection hidden="1"/>
    </xf>
    <xf numFmtId="0" fontId="26" fillId="23" borderId="76" xfId="0" applyFont="1" applyFill="1" applyBorder="1" applyAlignment="1" applyProtection="1">
      <alignment horizontal="center" vertical="center"/>
      <protection hidden="1"/>
    </xf>
    <xf numFmtId="0" fontId="26" fillId="23" borderId="77" xfId="0" applyFont="1" applyFill="1" applyBorder="1" applyAlignment="1" applyProtection="1">
      <alignment horizontal="center" vertical="center"/>
      <protection hidden="1"/>
    </xf>
    <xf numFmtId="0" fontId="26" fillId="23" borderId="78" xfId="0" applyFont="1" applyFill="1" applyBorder="1" applyAlignment="1" applyProtection="1">
      <alignment horizontal="center" vertical="center"/>
      <protection hidden="1"/>
    </xf>
    <xf numFmtId="0" fontId="28" fillId="7" borderId="0" xfId="0" applyFont="1" applyFill="1" applyBorder="1" applyAlignment="1" applyProtection="1">
      <alignment horizontal="center" vertical="center"/>
      <protection hidden="1"/>
    </xf>
    <xf numFmtId="0" fontId="119" fillId="23" borderId="79" xfId="0" applyFont="1" applyFill="1" applyBorder="1" applyAlignment="1" applyProtection="1">
      <alignment horizontal="center" vertical="center"/>
      <protection hidden="1"/>
    </xf>
    <xf numFmtId="0" fontId="119" fillId="23" borderId="38" xfId="0" applyFont="1" applyFill="1" applyBorder="1" applyAlignment="1" applyProtection="1">
      <alignment horizontal="center" vertical="center"/>
      <protection hidden="1"/>
    </xf>
    <xf numFmtId="0" fontId="119" fillId="23" borderId="31" xfId="0" applyFont="1" applyFill="1" applyBorder="1" applyAlignment="1" applyProtection="1">
      <alignment horizontal="center" vertical="center"/>
      <protection hidden="1"/>
    </xf>
    <xf numFmtId="0" fontId="27" fillId="9" borderId="23" xfId="0" applyFont="1" applyFill="1" applyBorder="1" applyAlignment="1" applyProtection="1">
      <alignment horizontal="center" vertical="center"/>
      <protection locked="0"/>
    </xf>
    <xf numFmtId="0" fontId="27" fillId="9" borderId="20" xfId="0" applyFont="1" applyFill="1" applyBorder="1" applyAlignment="1" applyProtection="1">
      <alignment horizontal="center" vertical="center"/>
      <protection locked="0"/>
    </xf>
    <xf numFmtId="0" fontId="27" fillId="9" borderId="21" xfId="0" applyFont="1" applyFill="1" applyBorder="1" applyAlignment="1" applyProtection="1">
      <alignment horizontal="center" vertical="center"/>
      <protection locked="0"/>
    </xf>
    <xf numFmtId="0" fontId="27" fillId="9" borderId="18" xfId="0" applyFont="1" applyFill="1" applyBorder="1" applyAlignment="1" applyProtection="1">
      <alignment horizontal="center" vertical="center"/>
      <protection locked="0"/>
    </xf>
    <xf numFmtId="0" fontId="34" fillId="7" borderId="0" xfId="0" applyFont="1" applyFill="1" applyBorder="1" applyAlignment="1" applyProtection="1">
      <alignment horizontal="center"/>
      <protection hidden="1"/>
    </xf>
    <xf numFmtId="0" fontId="25" fillId="8" borderId="41" xfId="0" applyFont="1" applyFill="1" applyBorder="1" applyAlignment="1" applyProtection="1">
      <alignment horizontal="center" vertical="top" wrapText="1"/>
      <protection hidden="1"/>
    </xf>
    <xf numFmtId="0" fontId="25" fillId="8" borderId="36" xfId="0" applyFont="1" applyFill="1" applyBorder="1" applyAlignment="1" applyProtection="1">
      <alignment horizontal="center" vertical="top" wrapText="1"/>
      <protection hidden="1"/>
    </xf>
    <xf numFmtId="0" fontId="25" fillId="8" borderId="19" xfId="0" applyFont="1" applyFill="1" applyBorder="1" applyAlignment="1" applyProtection="1">
      <alignment horizontal="center" vertical="top" wrapText="1"/>
      <protection hidden="1"/>
    </xf>
    <xf numFmtId="0" fontId="27" fillId="9" borderId="22" xfId="0" applyFont="1" applyFill="1" applyBorder="1" applyAlignment="1" applyProtection="1">
      <alignment horizontal="center" vertical="center"/>
      <protection locked="0"/>
    </xf>
    <xf numFmtId="0" fontId="27" fillId="9" borderId="19" xfId="0" applyFont="1" applyFill="1" applyBorder="1" applyAlignment="1" applyProtection="1">
      <alignment horizontal="center" vertical="center"/>
      <protection locked="0"/>
    </xf>
    <xf numFmtId="0" fontId="79" fillId="10" borderId="85" xfId="0" applyFont="1" applyFill="1" applyBorder="1" applyAlignment="1" applyProtection="1">
      <alignment horizontal="center" wrapText="1"/>
      <protection hidden="1"/>
    </xf>
    <xf numFmtId="0" fontId="79" fillId="10" borderId="0" xfId="0" applyFont="1" applyFill="1" applyBorder="1" applyAlignment="1" applyProtection="1">
      <alignment horizontal="center" wrapText="1"/>
      <protection hidden="1"/>
    </xf>
    <xf numFmtId="0" fontId="41" fillId="16" borderId="35" xfId="0" applyFont="1" applyFill="1" applyBorder="1" applyAlignment="1" applyProtection="1">
      <alignment horizontal="center" vertical="center" wrapText="1"/>
      <protection hidden="1"/>
    </xf>
    <xf numFmtId="0" fontId="41" fillId="16" borderId="61" xfId="0" applyFont="1" applyFill="1" applyBorder="1" applyAlignment="1" applyProtection="1">
      <alignment horizontal="center" vertical="center" wrapText="1"/>
      <protection hidden="1"/>
    </xf>
    <xf numFmtId="0" fontId="162" fillId="16" borderId="61" xfId="0" applyFont="1" applyFill="1" applyBorder="1" applyAlignment="1" applyProtection="1">
      <alignment horizontal="center" vertical="top"/>
      <protection hidden="1"/>
    </xf>
    <xf numFmtId="0" fontId="162" fillId="16" borderId="57" xfId="0" applyFont="1" applyFill="1" applyBorder="1" applyAlignment="1" applyProtection="1">
      <alignment horizontal="center" vertical="top"/>
      <protection hidden="1"/>
    </xf>
    <xf numFmtId="0" fontId="118" fillId="5" borderId="27" xfId="0" applyFont="1" applyFill="1" applyBorder="1" applyAlignment="1" applyProtection="1">
      <alignment horizontal="right"/>
      <protection hidden="1"/>
    </xf>
    <xf numFmtId="0" fontId="118" fillId="5" borderId="28" xfId="0" applyFont="1" applyFill="1" applyBorder="1" applyAlignment="1" applyProtection="1">
      <alignment horizontal="right"/>
      <protection hidden="1"/>
    </xf>
    <xf numFmtId="0" fontId="90" fillId="8" borderId="27" xfId="0" applyFont="1" applyFill="1" applyBorder="1" applyAlignment="1" applyProtection="1">
      <alignment horizontal="center" vertical="center"/>
      <protection hidden="1"/>
    </xf>
    <xf numFmtId="0" fontId="90" fillId="8" borderId="80" xfId="0" applyFont="1" applyFill="1" applyBorder="1" applyAlignment="1" applyProtection="1">
      <alignment horizontal="center" vertical="center"/>
      <protection hidden="1"/>
    </xf>
    <xf numFmtId="180" fontId="22" fillId="9" borderId="74" xfId="0" quotePrefix="1" applyNumberFormat="1" applyFont="1" applyFill="1" applyBorder="1" applyAlignment="1" applyProtection="1">
      <alignment horizontal="center" vertical="center"/>
      <protection locked="0"/>
    </xf>
    <xf numFmtId="180" fontId="22" fillId="9" borderId="28" xfId="0" quotePrefix="1" applyNumberFormat="1" applyFont="1" applyFill="1" applyBorder="1" applyAlignment="1" applyProtection="1">
      <alignment horizontal="center" vertical="center"/>
      <protection locked="0"/>
    </xf>
    <xf numFmtId="0" fontId="41" fillId="16" borderId="3" xfId="0" applyFont="1" applyFill="1" applyBorder="1" applyAlignment="1" applyProtection="1">
      <alignment horizontal="center" vertical="center"/>
      <protection hidden="1"/>
    </xf>
    <xf numFmtId="0" fontId="41" fillId="16" borderId="4" xfId="0" applyFont="1" applyFill="1" applyBorder="1" applyAlignment="1" applyProtection="1">
      <alignment horizontal="center" vertical="center"/>
      <protection hidden="1"/>
    </xf>
    <xf numFmtId="166" fontId="41" fillId="16" borderId="2" xfId="0" applyNumberFormat="1" applyFont="1" applyFill="1" applyBorder="1" applyAlignment="1" applyProtection="1">
      <alignment horizontal="center" vertical="center"/>
      <protection hidden="1"/>
    </xf>
    <xf numFmtId="166" fontId="41" fillId="16" borderId="4" xfId="0" applyNumberFormat="1" applyFont="1" applyFill="1" applyBorder="1" applyAlignment="1" applyProtection="1">
      <alignment horizontal="center" vertical="center"/>
      <protection hidden="1"/>
    </xf>
    <xf numFmtId="0" fontId="41" fillId="16" borderId="8" xfId="0" applyFont="1" applyFill="1" applyBorder="1" applyAlignment="1" applyProtection="1">
      <alignment horizontal="center" vertical="center"/>
      <protection hidden="1"/>
    </xf>
    <xf numFmtId="0" fontId="41" fillId="16" borderId="50" xfId="0" applyFont="1" applyFill="1" applyBorder="1" applyAlignment="1" applyProtection="1">
      <alignment horizontal="center" vertical="center"/>
      <protection hidden="1"/>
    </xf>
    <xf numFmtId="0" fontId="41" fillId="16" borderId="5" xfId="0" applyFont="1" applyFill="1" applyBorder="1" applyAlignment="1" applyProtection="1">
      <alignment horizontal="center" vertical="center"/>
      <protection hidden="1"/>
    </xf>
    <xf numFmtId="0" fontId="41" fillId="16" borderId="54" xfId="0" applyFont="1" applyFill="1" applyBorder="1" applyAlignment="1" applyProtection="1">
      <alignment horizontal="center" vertical="center"/>
      <protection hidden="1"/>
    </xf>
    <xf numFmtId="166" fontId="41" fillId="16" borderId="6" xfId="0" applyNumberFormat="1" applyFont="1" applyFill="1" applyBorder="1" applyAlignment="1" applyProtection="1">
      <alignment horizontal="center" vertical="center"/>
      <protection hidden="1"/>
    </xf>
    <xf numFmtId="166" fontId="41" fillId="16" borderId="50" xfId="0" applyNumberFormat="1" applyFont="1" applyFill="1" applyBorder="1" applyAlignment="1" applyProtection="1">
      <alignment horizontal="center" vertical="center"/>
      <protection hidden="1"/>
    </xf>
    <xf numFmtId="166" fontId="41" fillId="16" borderId="7" xfId="0" applyNumberFormat="1" applyFont="1" applyFill="1" applyBorder="1" applyAlignment="1" applyProtection="1">
      <alignment horizontal="center" vertical="center"/>
      <protection hidden="1"/>
    </xf>
    <xf numFmtId="166" fontId="41" fillId="16" borderId="54" xfId="0" applyNumberFormat="1" applyFont="1" applyFill="1" applyBorder="1" applyAlignment="1" applyProtection="1">
      <alignment horizontal="center" vertical="center"/>
      <protection hidden="1"/>
    </xf>
    <xf numFmtId="0" fontId="43" fillId="16" borderId="55" xfId="0" applyFont="1" applyFill="1" applyBorder="1" applyAlignment="1" applyProtection="1">
      <alignment horizontal="center" vertical="center"/>
      <protection hidden="1"/>
    </xf>
    <xf numFmtId="0" fontId="43" fillId="16" borderId="56" xfId="0" applyFont="1" applyFill="1" applyBorder="1" applyAlignment="1" applyProtection="1">
      <alignment horizontal="center" vertical="center"/>
      <protection hidden="1"/>
    </xf>
    <xf numFmtId="0" fontId="0" fillId="19" borderId="0" xfId="0" applyFill="1" applyAlignment="1" applyProtection="1">
      <alignment horizontal="center"/>
      <protection hidden="1"/>
    </xf>
    <xf numFmtId="49" fontId="2" fillId="3" borderId="132" xfId="0" applyNumberFormat="1" applyFont="1" applyFill="1" applyBorder="1" applyAlignment="1" applyProtection="1">
      <alignment horizontal="center" vertical="center" wrapText="1"/>
      <protection hidden="1"/>
    </xf>
    <xf numFmtId="49" fontId="2" fillId="3" borderId="137" xfId="0" applyNumberFormat="1" applyFont="1" applyFill="1" applyBorder="1" applyAlignment="1" applyProtection="1">
      <alignment horizontal="center" vertical="center" wrapText="1"/>
      <protection hidden="1"/>
    </xf>
    <xf numFmtId="49" fontId="6" fillId="3" borderId="116" xfId="0" applyNumberFormat="1" applyFont="1" applyFill="1" applyBorder="1" applyAlignment="1" applyProtection="1">
      <alignment horizontal="center" vertical="center" wrapText="1"/>
      <protection hidden="1"/>
    </xf>
    <xf numFmtId="49" fontId="6" fillId="3" borderId="118" xfId="0" applyNumberFormat="1" applyFont="1" applyFill="1" applyBorder="1" applyAlignment="1" applyProtection="1">
      <alignment horizontal="center" vertical="center" wrapText="1"/>
      <protection hidden="1"/>
    </xf>
    <xf numFmtId="49" fontId="6" fillId="3" borderId="133" xfId="0" applyNumberFormat="1" applyFont="1" applyFill="1" applyBorder="1" applyAlignment="1" applyProtection="1">
      <alignment horizontal="center" vertical="center" wrapText="1"/>
      <protection hidden="1"/>
    </xf>
    <xf numFmtId="49" fontId="6" fillId="3" borderId="134" xfId="0" applyNumberFormat="1" applyFont="1" applyFill="1" applyBorder="1" applyAlignment="1" applyProtection="1">
      <alignment horizontal="center" vertical="center" wrapText="1"/>
      <protection hidden="1"/>
    </xf>
    <xf numFmtId="0" fontId="48" fillId="3" borderId="34" xfId="0" applyFont="1" applyFill="1" applyBorder="1" applyAlignment="1" applyProtection="1">
      <alignment horizontal="center" vertical="center"/>
      <protection hidden="1"/>
    </xf>
    <xf numFmtId="0" fontId="48" fillId="3" borderId="75" xfId="0" applyFont="1" applyFill="1" applyBorder="1" applyAlignment="1" applyProtection="1">
      <alignment horizontal="center" vertical="center"/>
      <protection hidden="1"/>
    </xf>
    <xf numFmtId="0" fontId="142" fillId="16" borderId="27" xfId="0" applyFont="1" applyFill="1" applyBorder="1" applyAlignment="1" applyProtection="1">
      <alignment horizontal="center" vertical="center"/>
      <protection hidden="1"/>
    </xf>
    <xf numFmtId="0" fontId="142" fillId="16" borderId="28" xfId="0" applyFont="1" applyFill="1" applyBorder="1" applyAlignment="1" applyProtection="1">
      <alignment horizontal="center" vertical="center"/>
      <protection hidden="1"/>
    </xf>
    <xf numFmtId="0" fontId="142" fillId="16" borderId="29" xfId="0" applyFont="1" applyFill="1" applyBorder="1" applyAlignment="1" applyProtection="1">
      <alignment horizontal="center" vertical="center"/>
      <protection hidden="1"/>
    </xf>
    <xf numFmtId="0" fontId="0" fillId="19" borderId="30" xfId="0" applyFill="1" applyBorder="1" applyAlignment="1" applyProtection="1">
      <alignment horizontal="center"/>
      <protection hidden="1"/>
    </xf>
    <xf numFmtId="0" fontId="0" fillId="19" borderId="0" xfId="0" applyFill="1" applyBorder="1" applyAlignment="1" applyProtection="1">
      <alignment horizontal="center"/>
      <protection hidden="1"/>
    </xf>
    <xf numFmtId="0" fontId="33" fillId="4" borderId="27" xfId="0" applyFont="1" applyFill="1" applyBorder="1" applyAlignment="1" applyProtection="1">
      <alignment horizontal="left" vertical="center" wrapText="1"/>
      <protection hidden="1"/>
    </xf>
    <xf numFmtId="0" fontId="33" fillId="4" borderId="28" xfId="0" applyFont="1" applyFill="1" applyBorder="1" applyAlignment="1" applyProtection="1">
      <alignment horizontal="left" vertical="center" wrapText="1"/>
      <protection hidden="1"/>
    </xf>
    <xf numFmtId="0" fontId="33" fillId="4" borderId="29" xfId="0" applyFont="1" applyFill="1" applyBorder="1" applyAlignment="1" applyProtection="1">
      <alignment horizontal="left" vertical="center" wrapText="1"/>
      <protection hidden="1"/>
    </xf>
    <xf numFmtId="0" fontId="121" fillId="4" borderId="27" xfId="0" applyFont="1" applyFill="1" applyBorder="1" applyAlignment="1" applyProtection="1">
      <alignment horizontal="center" wrapText="1"/>
      <protection hidden="1"/>
    </xf>
    <xf numFmtId="0" fontId="121" fillId="4" borderId="28" xfId="0" applyFont="1" applyFill="1" applyBorder="1" applyAlignment="1" applyProtection="1">
      <alignment horizontal="center" wrapText="1"/>
      <protection hidden="1"/>
    </xf>
    <xf numFmtId="0" fontId="121" fillId="4" borderId="29" xfId="0" applyFont="1" applyFill="1" applyBorder="1" applyAlignment="1" applyProtection="1">
      <alignment horizontal="center" wrapText="1"/>
      <protection hidden="1"/>
    </xf>
    <xf numFmtId="0" fontId="116" fillId="4" borderId="43" xfId="0" applyFont="1" applyFill="1" applyBorder="1" applyAlignment="1" applyProtection="1">
      <alignment horizontal="center" vertical="center" wrapText="1"/>
      <protection hidden="1"/>
    </xf>
    <xf numFmtId="0" fontId="116" fillId="4" borderId="26" xfId="0" applyFont="1" applyFill="1" applyBorder="1" applyAlignment="1" applyProtection="1">
      <alignment horizontal="center" vertical="center" wrapText="1"/>
      <protection hidden="1"/>
    </xf>
    <xf numFmtId="0" fontId="50" fillId="7" borderId="33" xfId="0" applyFont="1" applyFill="1" applyBorder="1" applyAlignment="1" applyProtection="1">
      <alignment horizontal="center" vertical="center" wrapText="1"/>
      <protection hidden="1"/>
    </xf>
    <xf numFmtId="0" fontId="50" fillId="7" borderId="30" xfId="0" applyFont="1" applyFill="1" applyBorder="1" applyAlignment="1" applyProtection="1">
      <alignment horizontal="center" vertical="center" wrapText="1"/>
      <protection hidden="1"/>
    </xf>
    <xf numFmtId="0" fontId="38" fillId="11" borderId="76" xfId="0" applyFont="1" applyFill="1" applyBorder="1" applyAlignment="1" applyProtection="1">
      <alignment horizontal="center" vertical="center" wrapText="1"/>
      <protection hidden="1"/>
    </xf>
    <xf numFmtId="0" fontId="38" fillId="11" borderId="77" xfId="0" applyFont="1" applyFill="1" applyBorder="1" applyAlignment="1" applyProtection="1">
      <alignment horizontal="center" vertical="center" wrapText="1"/>
      <protection hidden="1"/>
    </xf>
    <xf numFmtId="0" fontId="122" fillId="4" borderId="27" xfId="0" applyFont="1" applyFill="1" applyBorder="1" applyAlignment="1" applyProtection="1">
      <alignment horizontal="center" vertical="center"/>
      <protection hidden="1"/>
    </xf>
    <xf numFmtId="0" fontId="122" fillId="4" borderId="28" xfId="0" applyFont="1" applyFill="1" applyBorder="1" applyAlignment="1" applyProtection="1">
      <alignment horizontal="center" vertical="center"/>
      <protection hidden="1"/>
    </xf>
    <xf numFmtId="0" fontId="40" fillId="13" borderId="42" xfId="0" applyFont="1" applyFill="1" applyBorder="1" applyAlignment="1" applyProtection="1">
      <alignment horizontal="center" vertical="center" wrapText="1"/>
      <protection hidden="1"/>
    </xf>
    <xf numFmtId="0" fontId="40" fillId="13" borderId="37" xfId="0" applyFont="1" applyFill="1" applyBorder="1" applyAlignment="1" applyProtection="1">
      <alignment horizontal="center" vertical="center" wrapText="1"/>
      <protection hidden="1"/>
    </xf>
    <xf numFmtId="0" fontId="40" fillId="13" borderId="84" xfId="0" applyFont="1" applyFill="1" applyBorder="1" applyAlignment="1" applyProtection="1">
      <alignment horizontal="center" vertical="center" wrapText="1"/>
      <protection hidden="1"/>
    </xf>
    <xf numFmtId="0" fontId="40" fillId="14" borderId="42" xfId="0" applyFont="1" applyFill="1" applyBorder="1" applyAlignment="1" applyProtection="1">
      <alignment horizontal="center" vertical="center" wrapText="1"/>
      <protection hidden="1"/>
    </xf>
    <xf numFmtId="0" fontId="40" fillId="14" borderId="37" xfId="0" applyFont="1" applyFill="1" applyBorder="1" applyAlignment="1" applyProtection="1">
      <alignment horizontal="center" vertical="center" wrapText="1"/>
      <protection hidden="1"/>
    </xf>
    <xf numFmtId="0" fontId="40" fillId="14" borderId="84" xfId="0" applyFont="1" applyFill="1" applyBorder="1" applyAlignment="1" applyProtection="1">
      <alignment horizontal="center" vertical="center" wrapText="1"/>
      <protection hidden="1"/>
    </xf>
    <xf numFmtId="0" fontId="40" fillId="15" borderId="41" xfId="0" applyFont="1" applyFill="1" applyBorder="1" applyAlignment="1" applyProtection="1">
      <alignment horizontal="center" vertical="center"/>
      <protection hidden="1"/>
    </xf>
    <xf numFmtId="0" fontId="40" fillId="15" borderId="36" xfId="0" applyFont="1" applyFill="1" applyBorder="1" applyAlignment="1" applyProtection="1">
      <alignment horizontal="center" vertical="center"/>
      <protection hidden="1"/>
    </xf>
    <xf numFmtId="0" fontId="40" fillId="15" borderId="32" xfId="0" applyFont="1" applyFill="1" applyBorder="1" applyAlignment="1" applyProtection="1">
      <alignment horizontal="center" vertical="center"/>
      <protection hidden="1"/>
    </xf>
    <xf numFmtId="0" fontId="25" fillId="4" borderId="45" xfId="0" applyFont="1" applyFill="1" applyBorder="1" applyAlignment="1" applyProtection="1">
      <alignment horizontal="center" vertical="center" textRotation="90" wrapText="1"/>
      <protection hidden="1"/>
    </xf>
    <xf numFmtId="0" fontId="25" fillId="4" borderId="43" xfId="0" applyFont="1" applyFill="1" applyBorder="1" applyAlignment="1" applyProtection="1">
      <alignment horizontal="center" vertical="center" textRotation="90" wrapText="1"/>
      <protection hidden="1"/>
    </xf>
    <xf numFmtId="0" fontId="25" fillId="4" borderId="26" xfId="0" applyFont="1" applyFill="1" applyBorder="1" applyAlignment="1" applyProtection="1">
      <alignment horizontal="center" vertical="center" textRotation="90" wrapText="1"/>
      <protection hidden="1"/>
    </xf>
    <xf numFmtId="0" fontId="25" fillId="4" borderId="44" xfId="0" applyFont="1" applyFill="1" applyBorder="1" applyAlignment="1" applyProtection="1">
      <alignment horizontal="center" vertical="center" textRotation="90" wrapText="1"/>
      <protection hidden="1"/>
    </xf>
    <xf numFmtId="0" fontId="25" fillId="4" borderId="47" xfId="0" applyFont="1" applyFill="1" applyBorder="1" applyAlignment="1" applyProtection="1">
      <alignment horizontal="center" vertical="center" textRotation="90" wrapText="1"/>
      <protection hidden="1"/>
    </xf>
    <xf numFmtId="0" fontId="25" fillId="4" borderId="48" xfId="0" applyFont="1" applyFill="1" applyBorder="1" applyAlignment="1" applyProtection="1">
      <alignment horizontal="center" vertical="center" textRotation="90" wrapText="1"/>
      <protection hidden="1"/>
    </xf>
    <xf numFmtId="0" fontId="50" fillId="7" borderId="30" xfId="0" quotePrefix="1" applyFont="1" applyFill="1" applyBorder="1" applyAlignment="1" applyProtection="1">
      <alignment horizontal="center" vertical="center" wrapText="1"/>
      <protection hidden="1"/>
    </xf>
    <xf numFmtId="0" fontId="50" fillId="7" borderId="30" xfId="0" applyFont="1" applyFill="1" applyBorder="1" applyAlignment="1" applyProtection="1">
      <alignment horizontal="center" vertical="center"/>
      <protection hidden="1"/>
    </xf>
    <xf numFmtId="0" fontId="52" fillId="7" borderId="0" xfId="0" applyFont="1" applyFill="1" applyBorder="1" applyAlignment="1" applyProtection="1">
      <alignment horizontal="center" vertical="center" wrapText="1"/>
      <protection hidden="1"/>
    </xf>
    <xf numFmtId="0" fontId="19" fillId="7" borderId="0" xfId="0" applyFont="1" applyFill="1" applyAlignment="1" applyProtection="1">
      <alignment horizontal="center"/>
      <protection hidden="1"/>
    </xf>
    <xf numFmtId="0" fontId="122" fillId="4" borderId="29" xfId="0" applyFont="1" applyFill="1" applyBorder="1" applyAlignment="1" applyProtection="1">
      <alignment horizontal="center" vertical="center"/>
      <protection hidden="1"/>
    </xf>
    <xf numFmtId="0" fontId="116" fillId="4" borderId="45" xfId="0" applyFont="1" applyFill="1" applyBorder="1" applyAlignment="1" applyProtection="1">
      <alignment horizontal="center" vertical="center" wrapText="1"/>
      <protection hidden="1"/>
    </xf>
    <xf numFmtId="0" fontId="25" fillId="4" borderId="43"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116" fillId="4" borderId="71" xfId="0" applyFont="1" applyFill="1" applyBorder="1" applyAlignment="1" applyProtection="1">
      <alignment horizontal="center" vertical="center" wrapText="1"/>
      <protection hidden="1"/>
    </xf>
    <xf numFmtId="0" fontId="116" fillId="4" borderId="53" xfId="0" applyFont="1" applyFill="1" applyBorder="1" applyAlignment="1" applyProtection="1">
      <alignment horizontal="center" vertical="center" wrapText="1"/>
      <protection hidden="1"/>
    </xf>
    <xf numFmtId="0" fontId="40" fillId="13" borderId="41" xfId="0" applyFont="1" applyFill="1" applyBorder="1" applyAlignment="1" applyProtection="1">
      <alignment horizontal="center" vertical="center" wrapText="1"/>
      <protection hidden="1"/>
    </xf>
    <xf numFmtId="0" fontId="40" fillId="13" borderId="36" xfId="0" applyFont="1" applyFill="1" applyBorder="1" applyAlignment="1" applyProtection="1">
      <alignment horizontal="center" vertical="center" wrapText="1"/>
      <protection hidden="1"/>
    </xf>
    <xf numFmtId="0" fontId="40" fillId="13" borderId="32" xfId="0" applyFont="1" applyFill="1" applyBorder="1" applyAlignment="1" applyProtection="1">
      <alignment horizontal="center" vertical="center" wrapText="1"/>
      <protection hidden="1"/>
    </xf>
    <xf numFmtId="0" fontId="40" fillId="14" borderId="41" xfId="0" applyFont="1" applyFill="1" applyBorder="1" applyAlignment="1" applyProtection="1">
      <alignment horizontal="center" vertical="center" wrapText="1"/>
      <protection hidden="1"/>
    </xf>
    <xf numFmtId="0" fontId="40" fillId="14" borderId="36" xfId="0" applyFont="1" applyFill="1" applyBorder="1" applyAlignment="1" applyProtection="1">
      <alignment horizontal="center" vertical="center" wrapText="1"/>
      <protection hidden="1"/>
    </xf>
    <xf numFmtId="0" fontId="40" fillId="14" borderId="32" xfId="0" applyFont="1" applyFill="1" applyBorder="1" applyAlignment="1" applyProtection="1">
      <alignment horizontal="center" vertical="center" wrapText="1"/>
      <protection hidden="1"/>
    </xf>
    <xf numFmtId="0" fontId="73" fillId="4" borderId="33" xfId="0" applyFont="1" applyFill="1" applyBorder="1" applyAlignment="1" applyProtection="1">
      <alignment horizontal="center" vertical="center" wrapText="1"/>
      <protection hidden="1"/>
    </xf>
    <xf numFmtId="0" fontId="73" fillId="4" borderId="34" xfId="0" applyFont="1" applyFill="1" applyBorder="1" applyAlignment="1" applyProtection="1">
      <alignment horizontal="center" vertical="center" wrapText="1"/>
      <protection hidden="1"/>
    </xf>
    <xf numFmtId="0" fontId="73" fillId="4" borderId="76" xfId="0" applyFont="1" applyFill="1" applyBorder="1" applyAlignment="1" applyProtection="1">
      <alignment horizontal="center" vertical="center" wrapText="1"/>
      <protection hidden="1"/>
    </xf>
    <xf numFmtId="0" fontId="73" fillId="4" borderId="78" xfId="0" applyFont="1" applyFill="1" applyBorder="1" applyAlignment="1" applyProtection="1">
      <alignment horizontal="center" vertical="center" wrapText="1"/>
      <protection hidden="1"/>
    </xf>
    <xf numFmtId="0" fontId="19" fillId="12" borderId="10" xfId="0" applyFont="1" applyFill="1" applyBorder="1" applyAlignment="1" applyProtection="1">
      <alignment horizontal="center" vertical="center"/>
      <protection hidden="1"/>
    </xf>
    <xf numFmtId="0" fontId="19" fillId="12" borderId="11" xfId="0" applyFont="1" applyFill="1" applyBorder="1" applyAlignment="1" applyProtection="1">
      <alignment horizontal="center" vertical="center"/>
      <protection hidden="1"/>
    </xf>
    <xf numFmtId="0" fontId="19" fillId="12" borderId="12" xfId="0" applyFont="1" applyFill="1" applyBorder="1" applyAlignment="1" applyProtection="1">
      <alignment horizontal="center" vertical="center"/>
      <protection hidden="1"/>
    </xf>
    <xf numFmtId="1" fontId="58" fillId="4" borderId="64" xfId="0" applyNumberFormat="1" applyFont="1" applyFill="1" applyBorder="1" applyAlignment="1" applyProtection="1">
      <alignment horizontal="center" vertical="center"/>
      <protection hidden="1"/>
    </xf>
    <xf numFmtId="1" fontId="58" fillId="4" borderId="60" xfId="0" applyNumberFormat="1" applyFont="1" applyFill="1" applyBorder="1" applyAlignment="1" applyProtection="1">
      <alignment horizontal="center" vertical="center"/>
      <protection hidden="1"/>
    </xf>
    <xf numFmtId="0" fontId="73" fillId="4" borderId="87" xfId="0" applyFont="1" applyFill="1" applyBorder="1" applyAlignment="1" applyProtection="1">
      <alignment horizontal="center" vertical="center" wrapText="1"/>
      <protection hidden="1"/>
    </xf>
    <xf numFmtId="0" fontId="73" fillId="4" borderId="89" xfId="0" applyFont="1" applyFill="1" applyBorder="1" applyAlignment="1" applyProtection="1">
      <alignment horizontal="center" vertical="center" wrapText="1"/>
      <protection hidden="1"/>
    </xf>
    <xf numFmtId="1" fontId="58" fillId="4" borderId="43" xfId="0" applyNumberFormat="1" applyFont="1" applyFill="1" applyBorder="1" applyAlignment="1" applyProtection="1">
      <alignment horizontal="center" vertical="center"/>
      <protection hidden="1"/>
    </xf>
    <xf numFmtId="1" fontId="58" fillId="4" borderId="26" xfId="0" applyNumberFormat="1" applyFont="1" applyFill="1" applyBorder="1" applyAlignment="1" applyProtection="1">
      <alignment horizontal="center" vertical="center"/>
      <protection hidden="1"/>
    </xf>
    <xf numFmtId="1" fontId="58" fillId="4" borderId="88" xfId="0" applyNumberFormat="1" applyFont="1" applyFill="1" applyBorder="1" applyAlignment="1" applyProtection="1">
      <alignment horizontal="center" vertical="center"/>
      <protection hidden="1"/>
    </xf>
    <xf numFmtId="1" fontId="58" fillId="4" borderId="49" xfId="0" applyNumberFormat="1" applyFont="1" applyFill="1" applyBorder="1" applyAlignment="1" applyProtection="1">
      <alignment horizontal="center" vertical="center"/>
      <protection hidden="1"/>
    </xf>
    <xf numFmtId="0" fontId="72" fillId="4" borderId="90" xfId="0" applyFont="1" applyFill="1" applyBorder="1" applyAlignment="1" applyProtection="1">
      <alignment horizontal="center" vertical="center" wrapText="1"/>
      <protection hidden="1"/>
    </xf>
    <xf numFmtId="0" fontId="72" fillId="4" borderId="52" xfId="0" applyFont="1" applyFill="1" applyBorder="1" applyAlignment="1" applyProtection="1">
      <alignment horizontal="center" vertical="center" wrapText="1"/>
      <protection hidden="1"/>
    </xf>
    <xf numFmtId="0" fontId="72" fillId="4" borderId="23" xfId="0" applyFont="1" applyFill="1" applyBorder="1" applyAlignment="1" applyProtection="1">
      <alignment horizontal="center" vertical="center" wrapText="1"/>
      <protection hidden="1"/>
    </xf>
    <xf numFmtId="0" fontId="72" fillId="4" borderId="37" xfId="0" applyFont="1" applyFill="1" applyBorder="1" applyAlignment="1" applyProtection="1">
      <alignment horizontal="center" vertical="center" wrapText="1"/>
      <protection hidden="1"/>
    </xf>
    <xf numFmtId="0" fontId="72" fillId="4" borderId="84" xfId="0" applyFont="1" applyFill="1" applyBorder="1" applyAlignment="1" applyProtection="1">
      <alignment horizontal="center" vertical="center" wrapText="1"/>
      <protection hidden="1"/>
    </xf>
    <xf numFmtId="0" fontId="58" fillId="4" borderId="27" xfId="0" applyFont="1" applyFill="1" applyBorder="1" applyAlignment="1" applyProtection="1">
      <alignment horizontal="center" wrapText="1"/>
      <protection hidden="1"/>
    </xf>
    <xf numFmtId="0" fontId="58" fillId="4" borderId="28" xfId="0" applyFont="1" applyFill="1" applyBorder="1" applyAlignment="1" applyProtection="1">
      <alignment horizontal="center" wrapText="1"/>
      <protection hidden="1"/>
    </xf>
    <xf numFmtId="0" fontId="58" fillId="4" borderId="79" xfId="0" applyFont="1" applyFill="1" applyBorder="1" applyAlignment="1" applyProtection="1">
      <alignment horizontal="center" vertical="center" wrapText="1"/>
      <protection hidden="1"/>
    </xf>
    <xf numFmtId="0" fontId="58" fillId="4" borderId="38" xfId="0" applyFont="1" applyFill="1" applyBorder="1" applyAlignment="1" applyProtection="1">
      <alignment horizontal="center" vertical="center" wrapText="1"/>
      <protection hidden="1"/>
    </xf>
    <xf numFmtId="0" fontId="58" fillId="4" borderId="18" xfId="0" applyFont="1" applyFill="1" applyBorder="1" applyAlignment="1" applyProtection="1">
      <alignment horizontal="center" vertical="center" wrapText="1"/>
      <protection hidden="1"/>
    </xf>
    <xf numFmtId="0" fontId="38" fillId="12" borderId="10" xfId="0" applyFont="1" applyFill="1" applyBorder="1" applyAlignment="1" applyProtection="1">
      <alignment horizontal="center" vertical="center" wrapText="1"/>
      <protection hidden="1"/>
    </xf>
    <xf numFmtId="0" fontId="38" fillId="12" borderId="11" xfId="0" applyFont="1" applyFill="1" applyBorder="1" applyAlignment="1" applyProtection="1">
      <alignment horizontal="center" vertical="center" wrapText="1"/>
      <protection hidden="1"/>
    </xf>
    <xf numFmtId="0" fontId="38" fillId="12" borderId="12" xfId="0" applyFont="1" applyFill="1" applyBorder="1" applyAlignment="1" applyProtection="1">
      <alignment horizontal="center" vertical="center" wrapText="1"/>
      <protection hidden="1"/>
    </xf>
    <xf numFmtId="0" fontId="85" fillId="4" borderId="27" xfId="0" applyFont="1" applyFill="1" applyBorder="1" applyAlignment="1" applyProtection="1">
      <alignment horizontal="center" vertical="center"/>
      <protection hidden="1"/>
    </xf>
    <xf numFmtId="0" fontId="85" fillId="4" borderId="28" xfId="0" applyFont="1" applyFill="1" applyBorder="1" applyAlignment="1" applyProtection="1">
      <alignment horizontal="center" vertical="center"/>
      <protection hidden="1"/>
    </xf>
    <xf numFmtId="0" fontId="85" fillId="4" borderId="29" xfId="0" applyFont="1" applyFill="1" applyBorder="1" applyAlignment="1" applyProtection="1">
      <alignment horizontal="center" vertical="center"/>
      <protection hidden="1"/>
    </xf>
    <xf numFmtId="0" fontId="58" fillId="4" borderId="79" xfId="0" applyFont="1" applyFill="1" applyBorder="1" applyAlignment="1" applyProtection="1">
      <alignment horizontal="center" vertical="center"/>
      <protection hidden="1"/>
    </xf>
    <xf numFmtId="0" fontId="58" fillId="4" borderId="38" xfId="0" applyFont="1" applyFill="1" applyBorder="1" applyAlignment="1" applyProtection="1">
      <alignment horizontal="center" vertical="center"/>
      <protection hidden="1"/>
    </xf>
    <xf numFmtId="0" fontId="58" fillId="4" borderId="31" xfId="0" applyFont="1" applyFill="1" applyBorder="1" applyAlignment="1" applyProtection="1">
      <alignment horizontal="center" vertical="center"/>
      <protection hidden="1"/>
    </xf>
    <xf numFmtId="164" fontId="72" fillId="4" borderId="28" xfId="0" applyNumberFormat="1" applyFont="1" applyFill="1" applyBorder="1" applyAlignment="1" applyProtection="1">
      <alignment horizontal="center" vertical="center"/>
      <protection hidden="1"/>
    </xf>
    <xf numFmtId="164" fontId="72" fillId="4" borderId="29" xfId="0" applyNumberFormat="1" applyFont="1" applyFill="1" applyBorder="1" applyAlignment="1" applyProtection="1">
      <alignment horizontal="center" vertical="center"/>
      <protection hidden="1"/>
    </xf>
    <xf numFmtId="0" fontId="39" fillId="4" borderId="28" xfId="0" applyFont="1" applyFill="1" applyBorder="1" applyAlignment="1" applyProtection="1">
      <alignment horizontal="right" vertical="center"/>
      <protection hidden="1"/>
    </xf>
    <xf numFmtId="0" fontId="83" fillId="4" borderId="79" xfId="0" applyFont="1" applyFill="1" applyBorder="1" applyAlignment="1" applyProtection="1">
      <alignment horizontal="center" vertical="center"/>
      <protection hidden="1"/>
    </xf>
    <xf numFmtId="0" fontId="83" fillId="4" borderId="38" xfId="0" applyFont="1" applyFill="1" applyBorder="1" applyAlignment="1" applyProtection="1">
      <alignment horizontal="center" vertical="center"/>
      <protection hidden="1"/>
    </xf>
    <xf numFmtId="0" fontId="83" fillId="4" borderId="31" xfId="0" applyFont="1" applyFill="1" applyBorder="1" applyAlignment="1" applyProtection="1">
      <alignment horizontal="center" vertical="center"/>
      <protection hidden="1"/>
    </xf>
    <xf numFmtId="0" fontId="49" fillId="4" borderId="0" xfId="0" applyFont="1" applyFill="1" applyBorder="1" applyAlignment="1" applyProtection="1">
      <alignment horizontal="center"/>
      <protection hidden="1"/>
    </xf>
    <xf numFmtId="0" fontId="49" fillId="4" borderId="75" xfId="0" applyFont="1" applyFill="1" applyBorder="1" applyAlignment="1" applyProtection="1">
      <alignment horizontal="center"/>
      <protection hidden="1"/>
    </xf>
    <xf numFmtId="0" fontId="73" fillId="4" borderId="25" xfId="0" applyFont="1" applyFill="1" applyBorder="1" applyAlignment="1" applyProtection="1">
      <alignment horizontal="center" vertical="center" wrapText="1"/>
      <protection hidden="1"/>
    </xf>
    <xf numFmtId="0" fontId="73" fillId="4" borderId="82" xfId="0" applyFont="1" applyFill="1" applyBorder="1" applyAlignment="1" applyProtection="1">
      <alignment horizontal="center" vertical="center" wrapText="1"/>
      <protection hidden="1"/>
    </xf>
    <xf numFmtId="1" fontId="58" fillId="4" borderId="24" xfId="0" applyNumberFormat="1" applyFont="1" applyFill="1" applyBorder="1" applyAlignment="1" applyProtection="1">
      <alignment horizontal="center" vertical="center"/>
      <protection hidden="1"/>
    </xf>
    <xf numFmtId="1" fontId="58" fillId="4" borderId="58" xfId="0" applyNumberFormat="1" applyFont="1" applyFill="1" applyBorder="1" applyAlignment="1" applyProtection="1">
      <alignment horizontal="center" vertical="center"/>
      <protection hidden="1"/>
    </xf>
    <xf numFmtId="0" fontId="50" fillId="7" borderId="33" xfId="0" quotePrefix="1" applyFont="1" applyFill="1" applyBorder="1" applyAlignment="1" applyProtection="1">
      <alignment horizontal="center" vertical="center" wrapText="1"/>
      <protection hidden="1"/>
    </xf>
    <xf numFmtId="165" fontId="58" fillId="4" borderId="21" xfId="0" applyNumberFormat="1" applyFont="1" applyFill="1" applyBorder="1" applyAlignment="1" applyProtection="1">
      <alignment horizontal="center" vertical="center" wrapText="1"/>
      <protection hidden="1"/>
    </xf>
    <xf numFmtId="165" fontId="58" fillId="4" borderId="38" xfId="0" applyNumberFormat="1" applyFont="1" applyFill="1" applyBorder="1" applyAlignment="1" applyProtection="1">
      <alignment horizontal="center" vertical="center" wrapText="1"/>
      <protection hidden="1"/>
    </xf>
    <xf numFmtId="0" fontId="124" fillId="18" borderId="30" xfId="1" applyFont="1" applyFill="1" applyBorder="1" applyAlignment="1" applyProtection="1">
      <alignment horizontal="center" vertical="top" wrapText="1"/>
      <protection hidden="1"/>
    </xf>
    <xf numFmtId="0" fontId="124" fillId="18" borderId="34" xfId="1" applyFont="1" applyFill="1" applyBorder="1" applyAlignment="1" applyProtection="1">
      <alignment horizontal="center" vertical="top" wrapText="1"/>
      <protection hidden="1"/>
    </xf>
    <xf numFmtId="0" fontId="124" fillId="18" borderId="0" xfId="1" applyFont="1" applyFill="1" applyBorder="1" applyAlignment="1" applyProtection="1">
      <alignment horizontal="center" vertical="top" wrapText="1"/>
      <protection hidden="1"/>
    </xf>
    <xf numFmtId="0" fontId="124" fillId="18" borderId="75" xfId="1" applyFont="1" applyFill="1" applyBorder="1" applyAlignment="1" applyProtection="1">
      <alignment horizontal="center" vertical="top" wrapText="1"/>
      <protection hidden="1"/>
    </xf>
    <xf numFmtId="0" fontId="124" fillId="18" borderId="77" xfId="1" applyFont="1" applyFill="1" applyBorder="1" applyAlignment="1" applyProtection="1">
      <alignment horizontal="center" vertical="top" wrapText="1"/>
      <protection hidden="1"/>
    </xf>
    <xf numFmtId="0" fontId="124" fillId="18" borderId="78" xfId="1" applyFont="1" applyFill="1" applyBorder="1" applyAlignment="1" applyProtection="1">
      <alignment horizontal="center" vertical="top" wrapText="1"/>
      <protection hidden="1"/>
    </xf>
    <xf numFmtId="0" fontId="73" fillId="4" borderId="30" xfId="0" applyFont="1" applyFill="1" applyBorder="1" applyAlignment="1" applyProtection="1">
      <alignment horizontal="center" vertical="center" wrapText="1"/>
      <protection hidden="1"/>
    </xf>
    <xf numFmtId="0" fontId="73" fillId="4" borderId="39" xfId="0" applyFont="1" applyFill="1" applyBorder="1" applyAlignment="1" applyProtection="1">
      <alignment horizontal="center" vertical="center" wrapText="1"/>
      <protection hidden="1"/>
    </xf>
    <xf numFmtId="0" fontId="73" fillId="4" borderId="40" xfId="0" applyFont="1" applyFill="1" applyBorder="1" applyAlignment="1" applyProtection="1">
      <alignment horizontal="center" vertical="center" wrapText="1"/>
      <protection hidden="1"/>
    </xf>
    <xf numFmtId="0" fontId="73" fillId="4" borderId="44" xfId="0" applyFont="1" applyFill="1" applyBorder="1" applyAlignment="1" applyProtection="1">
      <alignment horizontal="center" vertical="center" wrapText="1"/>
      <protection hidden="1"/>
    </xf>
    <xf numFmtId="0" fontId="73" fillId="4" borderId="47" xfId="0" applyFont="1" applyFill="1" applyBorder="1" applyAlignment="1" applyProtection="1">
      <alignment horizontal="center" vertical="center" wrapText="1"/>
      <protection hidden="1"/>
    </xf>
    <xf numFmtId="0" fontId="73" fillId="4" borderId="65" xfId="0" applyFont="1" applyFill="1" applyBorder="1" applyAlignment="1" applyProtection="1">
      <alignment horizontal="center" vertical="center" wrapText="1"/>
      <protection hidden="1"/>
    </xf>
    <xf numFmtId="0" fontId="73" fillId="4" borderId="83" xfId="0" applyFont="1" applyFill="1" applyBorder="1" applyAlignment="1" applyProtection="1">
      <alignment horizontal="center" vertical="center"/>
      <protection hidden="1"/>
    </xf>
    <xf numFmtId="0" fontId="73" fillId="4" borderId="87" xfId="0" applyFont="1" applyFill="1" applyBorder="1" applyAlignment="1" applyProtection="1">
      <alignment horizontal="center" vertical="center"/>
      <protection hidden="1"/>
    </xf>
    <xf numFmtId="0" fontId="73" fillId="4" borderId="82" xfId="0" applyFont="1" applyFill="1" applyBorder="1" applyAlignment="1" applyProtection="1">
      <alignment horizontal="center" vertical="center"/>
      <protection hidden="1"/>
    </xf>
    <xf numFmtId="0" fontId="73" fillId="4" borderId="45" xfId="0" applyFont="1" applyFill="1" applyBorder="1" applyAlignment="1" applyProtection="1">
      <alignment horizontal="center" vertical="center"/>
      <protection hidden="1"/>
    </xf>
    <xf numFmtId="0" fontId="73" fillId="4" borderId="43" xfId="0" applyFont="1" applyFill="1" applyBorder="1" applyAlignment="1" applyProtection="1">
      <alignment horizontal="center" vertical="center"/>
      <protection hidden="1"/>
    </xf>
    <xf numFmtId="0" fontId="73" fillId="4" borderId="58" xfId="0" applyFont="1" applyFill="1" applyBorder="1" applyAlignment="1" applyProtection="1">
      <alignment horizontal="center" vertical="center"/>
      <protection hidden="1"/>
    </xf>
    <xf numFmtId="0" fontId="73" fillId="4" borderId="83" xfId="0" applyFont="1" applyFill="1" applyBorder="1" applyAlignment="1" applyProtection="1">
      <alignment horizontal="center" vertical="center" wrapText="1"/>
      <protection hidden="1"/>
    </xf>
    <xf numFmtId="0" fontId="73" fillId="4" borderId="45" xfId="0" applyFont="1" applyFill="1" applyBorder="1" applyAlignment="1" applyProtection="1">
      <alignment horizontal="center" vertical="center" wrapText="1"/>
      <protection hidden="1"/>
    </xf>
    <xf numFmtId="0" fontId="73" fillId="4" borderId="43" xfId="0" applyFont="1" applyFill="1" applyBorder="1" applyAlignment="1" applyProtection="1">
      <alignment horizontal="center" vertical="center" wrapText="1"/>
      <protection hidden="1"/>
    </xf>
    <xf numFmtId="0" fontId="73" fillId="4" borderId="58" xfId="0" applyFont="1" applyFill="1" applyBorder="1" applyAlignment="1" applyProtection="1">
      <alignment horizontal="center" vertical="center" wrapText="1"/>
      <protection hidden="1"/>
    </xf>
    <xf numFmtId="0" fontId="30" fillId="4" borderId="73" xfId="0" applyFont="1" applyFill="1" applyBorder="1" applyAlignment="1" applyProtection="1">
      <alignment horizontal="center" vertical="center" wrapText="1"/>
      <protection hidden="1"/>
    </xf>
    <xf numFmtId="0" fontId="30" fillId="4" borderId="71" xfId="0" applyFont="1" applyFill="1" applyBorder="1" applyAlignment="1" applyProtection="1">
      <alignment horizontal="center" vertical="center" wrapText="1"/>
      <protection hidden="1"/>
    </xf>
    <xf numFmtId="0" fontId="30" fillId="4" borderId="59" xfId="0" applyFont="1" applyFill="1" applyBorder="1" applyAlignment="1" applyProtection="1">
      <alignment horizontal="center" vertical="center" wrapText="1"/>
      <protection hidden="1"/>
    </xf>
    <xf numFmtId="0" fontId="54" fillId="4" borderId="90" xfId="0" applyFont="1" applyFill="1" applyBorder="1" applyAlignment="1" applyProtection="1">
      <alignment horizontal="center" wrapText="1"/>
      <protection hidden="1"/>
    </xf>
    <xf numFmtId="0" fontId="54" fillId="4" borderId="52" xfId="0" applyFont="1" applyFill="1" applyBorder="1" applyAlignment="1" applyProtection="1">
      <alignment horizontal="center" wrapText="1"/>
      <protection hidden="1"/>
    </xf>
    <xf numFmtId="0" fontId="54" fillId="4" borderId="23" xfId="0" applyFont="1" applyFill="1" applyBorder="1" applyAlignment="1" applyProtection="1">
      <alignment horizontal="center" wrapText="1"/>
      <protection hidden="1"/>
    </xf>
    <xf numFmtId="0" fontId="54" fillId="4" borderId="37" xfId="0" applyFont="1" applyFill="1" applyBorder="1" applyAlignment="1" applyProtection="1">
      <alignment horizontal="center" wrapText="1"/>
      <protection hidden="1"/>
    </xf>
    <xf numFmtId="0" fontId="54" fillId="4" borderId="84" xfId="0" applyFont="1" applyFill="1" applyBorder="1" applyAlignment="1" applyProtection="1">
      <alignment horizontal="center" wrapText="1"/>
      <protection hidden="1"/>
    </xf>
    <xf numFmtId="0" fontId="58" fillId="4" borderId="51" xfId="0" applyFont="1" applyFill="1" applyBorder="1" applyAlignment="1" applyProtection="1">
      <alignment horizontal="center" wrapText="1"/>
      <protection hidden="1"/>
    </xf>
    <xf numFmtId="0" fontId="58" fillId="4" borderId="52" xfId="0" applyFont="1" applyFill="1" applyBorder="1" applyAlignment="1" applyProtection="1">
      <alignment horizontal="center" wrapText="1"/>
      <protection hidden="1"/>
    </xf>
    <xf numFmtId="0" fontId="58" fillId="4" borderId="23" xfId="0" applyFont="1" applyFill="1" applyBorder="1" applyAlignment="1" applyProtection="1">
      <alignment horizontal="center" wrapText="1"/>
      <protection hidden="1"/>
    </xf>
    <xf numFmtId="0" fontId="58" fillId="4" borderId="37" xfId="0" applyFont="1" applyFill="1" applyBorder="1" applyAlignment="1" applyProtection="1">
      <alignment horizontal="center" wrapText="1"/>
      <protection hidden="1"/>
    </xf>
    <xf numFmtId="0" fontId="58" fillId="4" borderId="84" xfId="0" applyFont="1" applyFill="1" applyBorder="1" applyAlignment="1" applyProtection="1">
      <alignment horizontal="center" wrapText="1"/>
      <protection hidden="1"/>
    </xf>
    <xf numFmtId="0" fontId="72" fillId="4" borderId="33" xfId="0" applyFont="1" applyFill="1" applyBorder="1" applyAlignment="1" applyProtection="1">
      <alignment horizontal="center" vertical="center" wrapText="1"/>
      <protection hidden="1"/>
    </xf>
    <xf numFmtId="0" fontId="72" fillId="4" borderId="34" xfId="0" applyFont="1" applyFill="1" applyBorder="1" applyAlignment="1" applyProtection="1">
      <alignment horizontal="center" vertical="center" wrapText="1"/>
      <protection hidden="1"/>
    </xf>
    <xf numFmtId="0" fontId="72" fillId="4" borderId="76" xfId="0" applyFont="1" applyFill="1" applyBorder="1" applyAlignment="1" applyProtection="1">
      <alignment horizontal="center" vertical="center" wrapText="1"/>
      <protection hidden="1"/>
    </xf>
    <xf numFmtId="0" fontId="72" fillId="4" borderId="78" xfId="0" applyFont="1" applyFill="1" applyBorder="1" applyAlignment="1" applyProtection="1">
      <alignment horizontal="center" vertical="center" wrapText="1"/>
      <protection hidden="1"/>
    </xf>
    <xf numFmtId="0" fontId="72" fillId="4" borderId="72" xfId="0" applyFont="1" applyFill="1" applyBorder="1" applyAlignment="1" applyProtection="1">
      <alignment horizontal="center" vertical="center" wrapText="1"/>
      <protection hidden="1"/>
    </xf>
    <xf numFmtId="0" fontId="72" fillId="4" borderId="75" xfId="0" applyFont="1" applyFill="1" applyBorder="1" applyAlignment="1" applyProtection="1">
      <alignment horizontal="center" vertical="center" wrapText="1"/>
      <protection hidden="1"/>
    </xf>
    <xf numFmtId="0" fontId="73" fillId="4" borderId="72" xfId="0" applyFont="1" applyFill="1" applyBorder="1" applyAlignment="1" applyProtection="1">
      <alignment horizontal="center" vertical="center" wrapText="1"/>
      <protection hidden="1"/>
    </xf>
    <xf numFmtId="0" fontId="73" fillId="4" borderId="75" xfId="0" applyFont="1" applyFill="1" applyBorder="1" applyAlignment="1" applyProtection="1">
      <alignment horizontal="center" vertical="center" wrapText="1"/>
      <protection hidden="1"/>
    </xf>
    <xf numFmtId="0" fontId="124" fillId="18" borderId="33" xfId="1" applyFont="1" applyFill="1" applyBorder="1" applyAlignment="1" applyProtection="1">
      <alignment horizontal="center" vertical="top" wrapText="1"/>
      <protection hidden="1"/>
    </xf>
    <xf numFmtId="0" fontId="124" fillId="18" borderId="72" xfId="1" applyFont="1" applyFill="1" applyBorder="1" applyAlignment="1" applyProtection="1">
      <alignment horizontal="center" vertical="top" wrapText="1"/>
      <protection hidden="1"/>
    </xf>
    <xf numFmtId="0" fontId="123" fillId="4" borderId="27" xfId="0" applyFont="1" applyFill="1" applyBorder="1" applyAlignment="1" applyProtection="1">
      <alignment horizontal="center" vertical="center"/>
      <protection hidden="1"/>
    </xf>
    <xf numFmtId="0" fontId="123" fillId="4" borderId="28" xfId="0" applyFont="1" applyFill="1" applyBorder="1" applyAlignment="1" applyProtection="1">
      <alignment horizontal="center" vertical="center"/>
      <protection hidden="1"/>
    </xf>
    <xf numFmtId="0" fontId="123" fillId="4" borderId="29" xfId="0" applyFont="1" applyFill="1" applyBorder="1" applyAlignment="1" applyProtection="1">
      <alignment horizontal="center" vertical="center"/>
      <protection hidden="1"/>
    </xf>
    <xf numFmtId="0" fontId="123" fillId="4" borderId="21" xfId="0" applyFont="1" applyFill="1" applyBorder="1" applyAlignment="1" applyProtection="1">
      <alignment horizontal="center" vertical="center"/>
      <protection hidden="1"/>
    </xf>
    <xf numFmtId="0" fontId="123" fillId="4" borderId="38" xfId="0" applyFont="1" applyFill="1" applyBorder="1" applyAlignment="1" applyProtection="1">
      <alignment horizontal="center" vertical="center"/>
      <protection hidden="1"/>
    </xf>
    <xf numFmtId="0" fontId="123" fillId="4" borderId="31" xfId="0" applyFont="1" applyFill="1" applyBorder="1" applyAlignment="1" applyProtection="1">
      <alignment horizontal="center" vertical="center"/>
      <protection hidden="1"/>
    </xf>
    <xf numFmtId="0" fontId="120" fillId="4" borderId="45" xfId="0" applyFont="1" applyFill="1" applyBorder="1" applyAlignment="1" applyProtection="1">
      <alignment horizontal="center" vertical="center" wrapText="1"/>
      <protection hidden="1"/>
    </xf>
    <xf numFmtId="0" fontId="120" fillId="4" borderId="43" xfId="0" applyFont="1" applyFill="1" applyBorder="1" applyAlignment="1" applyProtection="1">
      <alignment horizontal="center" vertical="center" wrapText="1"/>
      <protection hidden="1"/>
    </xf>
    <xf numFmtId="0" fontId="120" fillId="4" borderId="26" xfId="0" applyFont="1" applyFill="1" applyBorder="1" applyAlignment="1" applyProtection="1">
      <alignment horizontal="center" vertical="center" wrapText="1"/>
      <protection hidden="1"/>
    </xf>
    <xf numFmtId="0" fontId="37" fillId="4" borderId="44" xfId="0" applyFont="1" applyFill="1" applyBorder="1" applyAlignment="1" applyProtection="1">
      <alignment horizontal="center" vertical="center" wrapText="1"/>
      <protection hidden="1"/>
    </xf>
    <xf numFmtId="0" fontId="37" fillId="4" borderId="47" xfId="0" applyFont="1" applyFill="1" applyBorder="1" applyAlignment="1" applyProtection="1">
      <alignment horizontal="center" vertical="center" wrapText="1"/>
      <protection hidden="1"/>
    </xf>
    <xf numFmtId="0" fontId="37" fillId="4" borderId="65" xfId="0" applyFont="1" applyFill="1" applyBorder="1" applyAlignment="1" applyProtection="1">
      <alignment horizontal="center" vertical="center" wrapText="1"/>
      <protection hidden="1"/>
    </xf>
    <xf numFmtId="0" fontId="123" fillId="4" borderId="83" xfId="0" applyFont="1" applyFill="1" applyBorder="1" applyAlignment="1" applyProtection="1">
      <alignment horizontal="center" vertical="center"/>
      <protection hidden="1"/>
    </xf>
    <xf numFmtId="0" fontId="123" fillId="4" borderId="87" xfId="0" applyFont="1" applyFill="1" applyBorder="1" applyAlignment="1" applyProtection="1">
      <alignment horizontal="center" vertical="center"/>
      <protection hidden="1"/>
    </xf>
    <xf numFmtId="0" fontId="123" fillId="4" borderId="82" xfId="0" applyFont="1" applyFill="1" applyBorder="1" applyAlignment="1" applyProtection="1">
      <alignment horizontal="center" vertical="center"/>
      <protection hidden="1"/>
    </xf>
    <xf numFmtId="0" fontId="123" fillId="4" borderId="45" xfId="0" applyFont="1" applyFill="1" applyBorder="1" applyAlignment="1" applyProtection="1">
      <alignment horizontal="center" vertical="center"/>
      <protection hidden="1"/>
    </xf>
    <xf numFmtId="0" fontId="123" fillId="4" borderId="43" xfId="0" applyFont="1" applyFill="1" applyBorder="1" applyAlignment="1" applyProtection="1">
      <alignment horizontal="center" vertical="center"/>
      <protection hidden="1"/>
    </xf>
    <xf numFmtId="0" fontId="123" fillId="4" borderId="58" xfId="0" applyFont="1" applyFill="1" applyBorder="1" applyAlignment="1" applyProtection="1">
      <alignment horizontal="center" vertical="center"/>
      <protection hidden="1"/>
    </xf>
    <xf numFmtId="0" fontId="0" fillId="7" borderId="33" xfId="0" applyFill="1" applyBorder="1" applyAlignment="1" applyProtection="1">
      <alignment horizontal="center"/>
      <protection hidden="1"/>
    </xf>
    <xf numFmtId="0" fontId="0" fillId="7" borderId="30" xfId="0" applyFill="1" applyBorder="1" applyAlignment="1" applyProtection="1">
      <alignment horizontal="center"/>
      <protection hidden="1"/>
    </xf>
    <xf numFmtId="0" fontId="0" fillId="7" borderId="34" xfId="0" applyFill="1" applyBorder="1" applyAlignment="1" applyProtection="1">
      <alignment horizontal="center"/>
      <protection hidden="1"/>
    </xf>
    <xf numFmtId="0" fontId="0" fillId="7" borderId="72" xfId="0" applyFill="1" applyBorder="1" applyAlignment="1" applyProtection="1">
      <alignment horizontal="center"/>
      <protection hidden="1"/>
    </xf>
    <xf numFmtId="0" fontId="0" fillId="7" borderId="0" xfId="0" applyFill="1" applyBorder="1" applyAlignment="1" applyProtection="1">
      <alignment horizontal="center"/>
      <protection hidden="1"/>
    </xf>
    <xf numFmtId="0" fontId="0" fillId="7" borderId="75" xfId="0" applyFill="1" applyBorder="1" applyAlignment="1" applyProtection="1">
      <alignment horizontal="center"/>
      <protection hidden="1"/>
    </xf>
    <xf numFmtId="0" fontId="0" fillId="7" borderId="76" xfId="0" applyFill="1" applyBorder="1" applyAlignment="1" applyProtection="1">
      <alignment horizontal="center"/>
      <protection hidden="1"/>
    </xf>
    <xf numFmtId="0" fontId="0" fillId="7" borderId="77" xfId="0" applyFill="1" applyBorder="1" applyAlignment="1" applyProtection="1">
      <alignment horizontal="center"/>
      <protection hidden="1"/>
    </xf>
    <xf numFmtId="0" fontId="0" fillId="7" borderId="78" xfId="0" applyFill="1" applyBorder="1" applyAlignment="1" applyProtection="1">
      <alignment horizontal="center"/>
      <protection hidden="1"/>
    </xf>
    <xf numFmtId="0" fontId="116" fillId="16" borderId="79" xfId="0" applyFont="1" applyFill="1" applyBorder="1" applyAlignment="1" applyProtection="1">
      <alignment horizontal="center" vertical="center" wrapText="1"/>
      <protection hidden="1"/>
    </xf>
    <xf numFmtId="0" fontId="116" fillId="16" borderId="38" xfId="0" applyFont="1" applyFill="1" applyBorder="1" applyAlignment="1" applyProtection="1">
      <alignment horizontal="center" vertical="center" wrapText="1"/>
      <protection hidden="1"/>
    </xf>
    <xf numFmtId="0" fontId="116" fillId="16" borderId="18" xfId="0" applyFont="1" applyFill="1" applyBorder="1" applyAlignment="1" applyProtection="1">
      <alignment horizontal="center" vertical="center" wrapText="1"/>
      <protection hidden="1"/>
    </xf>
    <xf numFmtId="164" fontId="123" fillId="4" borderId="28" xfId="0" applyNumberFormat="1" applyFont="1" applyFill="1" applyBorder="1" applyAlignment="1" applyProtection="1">
      <alignment horizontal="center" vertical="center"/>
      <protection hidden="1"/>
    </xf>
    <xf numFmtId="164" fontId="123" fillId="4" borderId="29" xfId="0" applyNumberFormat="1" applyFont="1" applyFill="1" applyBorder="1" applyAlignment="1" applyProtection="1">
      <alignment horizontal="center" vertical="center"/>
      <protection hidden="1"/>
    </xf>
    <xf numFmtId="0" fontId="25" fillId="4" borderId="88" xfId="0" applyFont="1" applyFill="1" applyBorder="1" applyAlignment="1" applyProtection="1">
      <alignment horizontal="center" vertical="center" wrapText="1"/>
      <protection hidden="1"/>
    </xf>
    <xf numFmtId="0" fontId="25" fillId="4" borderId="49" xfId="0" applyFont="1" applyFill="1" applyBorder="1" applyAlignment="1" applyProtection="1">
      <alignment horizontal="center" vertical="center" wrapText="1"/>
      <protection hidden="1"/>
    </xf>
    <xf numFmtId="0" fontId="85" fillId="4" borderId="80" xfId="0" applyFont="1" applyFill="1" applyBorder="1" applyAlignment="1" applyProtection="1">
      <alignment horizontal="center" vertical="center"/>
      <protection hidden="1"/>
    </xf>
    <xf numFmtId="0" fontId="119" fillId="16" borderId="41" xfId="0" applyFont="1" applyFill="1" applyBorder="1" applyAlignment="1" applyProtection="1">
      <alignment horizontal="center" vertical="center" wrapText="1"/>
      <protection hidden="1"/>
    </xf>
    <xf numFmtId="0" fontId="119" fillId="16" borderId="36" xfId="0" applyFont="1" applyFill="1" applyBorder="1" applyAlignment="1" applyProtection="1">
      <alignment horizontal="center" vertical="center" wrapText="1"/>
      <protection hidden="1"/>
    </xf>
    <xf numFmtId="0" fontId="119" fillId="16" borderId="19" xfId="0" applyFont="1" applyFill="1" applyBorder="1" applyAlignment="1" applyProtection="1">
      <alignment horizontal="center" vertical="center" wrapText="1"/>
      <protection hidden="1"/>
    </xf>
    <xf numFmtId="0" fontId="119" fillId="16" borderId="42" xfId="0" applyFont="1" applyFill="1" applyBorder="1" applyAlignment="1" applyProtection="1">
      <alignment horizontal="center" vertical="center" wrapText="1"/>
      <protection hidden="1"/>
    </xf>
    <xf numFmtId="0" fontId="119" fillId="16" borderId="37" xfId="0" applyFont="1" applyFill="1" applyBorder="1" applyAlignment="1" applyProtection="1">
      <alignment horizontal="center" vertical="center" wrapText="1"/>
      <protection hidden="1"/>
    </xf>
    <xf numFmtId="0" fontId="119" fillId="16" borderId="20" xfId="0" applyFont="1" applyFill="1" applyBorder="1" applyAlignment="1" applyProtection="1">
      <alignment horizontal="center" vertical="center" wrapText="1"/>
      <protection hidden="1"/>
    </xf>
    <xf numFmtId="0" fontId="135" fillId="16" borderId="38" xfId="0" applyFont="1" applyFill="1" applyBorder="1" applyAlignment="1" applyProtection="1">
      <alignment horizontal="center" vertical="center" wrapText="1"/>
      <protection hidden="1"/>
    </xf>
    <xf numFmtId="0" fontId="135" fillId="16" borderId="31" xfId="0" applyFont="1" applyFill="1" applyBorder="1" applyAlignment="1" applyProtection="1">
      <alignment horizontal="center" vertical="center" wrapText="1"/>
      <protection hidden="1"/>
    </xf>
    <xf numFmtId="0" fontId="25" fillId="4" borderId="33" xfId="0" applyFont="1" applyFill="1" applyBorder="1" applyAlignment="1" applyProtection="1">
      <alignment horizontal="center" vertical="center" textRotation="90" wrapText="1"/>
      <protection hidden="1"/>
    </xf>
    <xf numFmtId="0" fontId="25" fillId="4" borderId="83" xfId="0" applyFont="1" applyFill="1" applyBorder="1" applyAlignment="1" applyProtection="1">
      <alignment horizontal="center" vertical="center" textRotation="90" wrapText="1"/>
      <protection hidden="1"/>
    </xf>
    <xf numFmtId="0" fontId="25" fillId="4" borderId="72" xfId="0" applyFont="1" applyFill="1" applyBorder="1" applyAlignment="1" applyProtection="1">
      <alignment horizontal="center" vertical="center" textRotation="90" wrapText="1"/>
      <protection hidden="1"/>
    </xf>
    <xf numFmtId="0" fontId="25" fillId="4" borderId="87" xfId="0" applyFont="1" applyFill="1" applyBorder="1" applyAlignment="1" applyProtection="1">
      <alignment horizontal="center" vertical="center" textRotation="90" wrapText="1"/>
      <protection hidden="1"/>
    </xf>
    <xf numFmtId="0" fontId="25" fillId="4" borderId="86" xfId="0" applyFont="1" applyFill="1" applyBorder="1" applyAlignment="1" applyProtection="1">
      <alignment horizontal="center" vertical="center" textRotation="90" wrapText="1"/>
      <protection hidden="1"/>
    </xf>
    <xf numFmtId="0" fontId="25" fillId="4" borderId="89" xfId="0" applyFont="1" applyFill="1" applyBorder="1" applyAlignment="1" applyProtection="1">
      <alignment horizontal="center" vertical="center" textRotation="90" wrapText="1"/>
      <protection hidden="1"/>
    </xf>
    <xf numFmtId="0" fontId="72" fillId="4" borderId="45" xfId="0" applyFont="1" applyFill="1" applyBorder="1" applyAlignment="1" applyProtection="1">
      <alignment horizontal="center" vertical="center" wrapText="1"/>
      <protection hidden="1"/>
    </xf>
    <xf numFmtId="0" fontId="72" fillId="4" borderId="43" xfId="0" applyFont="1" applyFill="1" applyBorder="1" applyAlignment="1" applyProtection="1">
      <alignment horizontal="center" vertical="center" wrapText="1"/>
      <protection hidden="1"/>
    </xf>
    <xf numFmtId="0" fontId="72" fillId="4" borderId="58" xfId="0" applyFont="1" applyFill="1" applyBorder="1" applyAlignment="1" applyProtection="1">
      <alignment horizontal="center" vertical="center" wrapText="1"/>
      <protection hidden="1"/>
    </xf>
    <xf numFmtId="0" fontId="37" fillId="4" borderId="42" xfId="0" applyFont="1" applyFill="1" applyBorder="1" applyAlignment="1" applyProtection="1">
      <alignment horizontal="center" vertical="center" wrapText="1"/>
      <protection hidden="1"/>
    </xf>
    <xf numFmtId="0" fontId="37" fillId="4" borderId="20" xfId="0" applyFont="1" applyFill="1" applyBorder="1" applyAlignment="1" applyProtection="1">
      <alignment horizontal="center" vertical="center" wrapText="1"/>
      <protection hidden="1"/>
    </xf>
    <xf numFmtId="0" fontId="72" fillId="4" borderId="44" xfId="0" applyFont="1" applyFill="1" applyBorder="1" applyAlignment="1" applyProtection="1">
      <alignment horizontal="center" vertical="center" wrapText="1"/>
      <protection hidden="1"/>
    </xf>
    <xf numFmtId="0" fontId="72" fillId="4" borderId="65" xfId="0" applyFont="1" applyFill="1" applyBorder="1" applyAlignment="1" applyProtection="1">
      <alignment horizontal="center" vertical="center" wrapText="1"/>
      <protection hidden="1"/>
    </xf>
    <xf numFmtId="0" fontId="72" fillId="4" borderId="47" xfId="0" applyFont="1" applyFill="1" applyBorder="1" applyAlignment="1" applyProtection="1">
      <alignment horizontal="center" vertical="center" wrapText="1"/>
      <protection hidden="1"/>
    </xf>
    <xf numFmtId="184" fontId="4" fillId="0" borderId="175" xfId="0" applyNumberFormat="1" applyFont="1" applyBorder="1" applyAlignment="1" applyProtection="1">
      <alignment horizontal="center" vertical="center" wrapText="1"/>
      <protection hidden="1"/>
    </xf>
    <xf numFmtId="184" fontId="4" fillId="0" borderId="167" xfId="0" applyNumberFormat="1" applyFont="1" applyBorder="1" applyAlignment="1" applyProtection="1">
      <alignment horizontal="center" vertical="center" wrapText="1"/>
      <protection hidden="1"/>
    </xf>
    <xf numFmtId="184" fontId="4" fillId="0" borderId="168" xfId="0" applyNumberFormat="1" applyFont="1" applyBorder="1" applyAlignment="1" applyProtection="1">
      <alignment horizontal="center" vertical="center" wrapText="1"/>
      <protection hidden="1"/>
    </xf>
    <xf numFmtId="184" fontId="4" fillId="0" borderId="156" xfId="0" applyNumberFormat="1" applyFont="1" applyBorder="1" applyAlignment="1" applyProtection="1">
      <alignment horizontal="center" vertical="center" wrapText="1"/>
      <protection hidden="1"/>
    </xf>
    <xf numFmtId="184" fontId="4" fillId="0" borderId="157" xfId="0" applyNumberFormat="1" applyFont="1" applyBorder="1" applyAlignment="1" applyProtection="1">
      <alignment horizontal="center" vertical="center" wrapText="1"/>
      <protection hidden="1"/>
    </xf>
    <xf numFmtId="0" fontId="127" fillId="4" borderId="69" xfId="0" applyFont="1" applyFill="1" applyBorder="1" applyAlignment="1" applyProtection="1">
      <alignment horizontal="center" vertical="center" wrapText="1"/>
      <protection hidden="1"/>
    </xf>
    <xf numFmtId="0" fontId="127" fillId="4" borderId="70" xfId="0" applyFont="1" applyFill="1" applyBorder="1" applyAlignment="1" applyProtection="1">
      <alignment horizontal="center" vertical="center" wrapText="1"/>
      <protection hidden="1"/>
    </xf>
    <xf numFmtId="0" fontId="3" fillId="7" borderId="0" xfId="0" applyFont="1" applyFill="1" applyAlignment="1" applyProtection="1">
      <alignment horizontal="center"/>
      <protection hidden="1"/>
    </xf>
    <xf numFmtId="0" fontId="45" fillId="0" borderId="101" xfId="0" applyFont="1" applyBorder="1" applyAlignment="1" applyProtection="1">
      <alignment horizontal="left" vertical="center"/>
      <protection hidden="1"/>
    </xf>
    <xf numFmtId="0" fontId="45" fillId="0" borderId="91" xfId="0" applyFont="1" applyBorder="1" applyAlignment="1" applyProtection="1">
      <alignment horizontal="left" vertical="center"/>
      <protection hidden="1"/>
    </xf>
    <xf numFmtId="0" fontId="45" fillId="0" borderId="101" xfId="0" applyFont="1" applyBorder="1" applyAlignment="1" applyProtection="1">
      <alignment horizontal="left"/>
      <protection hidden="1"/>
    </xf>
    <xf numFmtId="0" fontId="45" fillId="0" borderId="91" xfId="0" applyFont="1" applyBorder="1" applyAlignment="1" applyProtection="1">
      <alignment horizontal="left"/>
      <protection hidden="1"/>
    </xf>
    <xf numFmtId="0" fontId="45" fillId="0" borderId="106" xfId="0" applyFont="1" applyBorder="1" applyAlignment="1" applyProtection="1">
      <alignment horizontal="left"/>
      <protection hidden="1"/>
    </xf>
    <xf numFmtId="0" fontId="5" fillId="0" borderId="101" xfId="0" applyFont="1" applyBorder="1" applyAlignment="1" applyProtection="1">
      <alignment horizontal="center"/>
      <protection hidden="1"/>
    </xf>
    <xf numFmtId="0" fontId="5" fillId="0" borderId="91" xfId="0" applyFont="1" applyBorder="1" applyAlignment="1" applyProtection="1">
      <alignment horizontal="center"/>
      <protection hidden="1"/>
    </xf>
    <xf numFmtId="0" fontId="5" fillId="0" borderId="102" xfId="0" applyFont="1" applyBorder="1" applyAlignment="1" applyProtection="1">
      <alignment horizontal="center"/>
      <protection hidden="1"/>
    </xf>
    <xf numFmtId="0" fontId="5" fillId="0" borderId="95" xfId="0" applyFont="1" applyBorder="1" applyAlignment="1" applyProtection="1">
      <alignment horizontal="center"/>
      <protection hidden="1"/>
    </xf>
    <xf numFmtId="0" fontId="5" fillId="0" borderId="96" xfId="0" applyFont="1" applyBorder="1" applyAlignment="1" applyProtection="1">
      <alignment horizontal="center"/>
      <protection hidden="1"/>
    </xf>
    <xf numFmtId="0" fontId="5" fillId="0" borderId="97" xfId="0" applyFont="1" applyBorder="1" applyAlignment="1" applyProtection="1">
      <alignment horizontal="center"/>
      <protection hidden="1"/>
    </xf>
    <xf numFmtId="0" fontId="3" fillId="3" borderId="92" xfId="0" applyFont="1" applyFill="1" applyBorder="1" applyAlignment="1" applyProtection="1">
      <alignment horizontal="center"/>
      <protection hidden="1"/>
    </xf>
    <xf numFmtId="0" fontId="3" fillId="3" borderId="93" xfId="0" applyFont="1" applyFill="1" applyBorder="1" applyAlignment="1" applyProtection="1">
      <alignment horizontal="center"/>
      <protection hidden="1"/>
    </xf>
    <xf numFmtId="0" fontId="3" fillId="3" borderId="94" xfId="0" applyFont="1" applyFill="1" applyBorder="1" applyAlignment="1" applyProtection="1">
      <alignment horizontal="center"/>
      <protection hidden="1"/>
    </xf>
    <xf numFmtId="0" fontId="3" fillId="3" borderId="101" xfId="0" applyFont="1" applyFill="1" applyBorder="1" applyAlignment="1" applyProtection="1">
      <alignment horizontal="center" vertical="top" wrapText="1"/>
      <protection hidden="1"/>
    </xf>
    <xf numFmtId="0" fontId="3" fillId="3" borderId="91" xfId="0" applyFont="1" applyFill="1" applyBorder="1" applyAlignment="1" applyProtection="1">
      <alignment horizontal="center" vertical="top" wrapText="1"/>
      <protection hidden="1"/>
    </xf>
    <xf numFmtId="0" fontId="3" fillId="3" borderId="102" xfId="0" applyFont="1" applyFill="1" applyBorder="1" applyAlignment="1" applyProtection="1">
      <alignment horizontal="center" vertical="top" wrapText="1"/>
      <protection hidden="1"/>
    </xf>
    <xf numFmtId="0" fontId="125" fillId="0" borderId="91" xfId="0" applyFont="1" applyBorder="1" applyAlignment="1" applyProtection="1">
      <alignment horizontal="center" vertical="top" wrapText="1"/>
      <protection hidden="1"/>
    </xf>
    <xf numFmtId="0" fontId="125" fillId="0" borderId="102" xfId="0" applyFont="1" applyBorder="1" applyAlignment="1" applyProtection="1">
      <alignment horizontal="center" vertical="top" wrapText="1"/>
      <protection hidden="1"/>
    </xf>
    <xf numFmtId="0" fontId="126" fillId="0" borderId="92" xfId="0" applyFont="1" applyBorder="1" applyAlignment="1" applyProtection="1">
      <alignment horizontal="justify" vertical="justify"/>
      <protection hidden="1"/>
    </xf>
    <xf numFmtId="0" fontId="126" fillId="0" borderId="93" xfId="0" applyFont="1" applyBorder="1" applyAlignment="1" applyProtection="1">
      <alignment horizontal="justify" vertical="justify"/>
      <protection hidden="1"/>
    </xf>
    <xf numFmtId="0" fontId="126" fillId="0" borderId="105" xfId="0" applyFont="1" applyBorder="1" applyAlignment="1" applyProtection="1">
      <alignment horizontal="justify" vertical="justify"/>
      <protection hidden="1"/>
    </xf>
    <xf numFmtId="0" fontId="45" fillId="0" borderId="101" xfId="0" applyFont="1" applyBorder="1" applyAlignment="1" applyProtection="1">
      <alignment horizontal="justify" vertical="justify" wrapText="1"/>
      <protection hidden="1"/>
    </xf>
    <xf numFmtId="0" fontId="45" fillId="0" borderId="91" xfId="0" applyFont="1" applyBorder="1" applyAlignment="1" applyProtection="1">
      <alignment horizontal="justify" vertical="justify" wrapText="1"/>
      <protection hidden="1"/>
    </xf>
    <xf numFmtId="0" fontId="45" fillId="0" borderId="106" xfId="0" applyFont="1" applyBorder="1" applyAlignment="1" applyProtection="1">
      <alignment horizontal="justify" vertical="justify" wrapText="1"/>
      <protection hidden="1"/>
    </xf>
    <xf numFmtId="0" fontId="3" fillId="0" borderId="91" xfId="0" applyFont="1" applyBorder="1"/>
    <xf numFmtId="184" fontId="4" fillId="2" borderId="156" xfId="0" applyNumberFormat="1" applyFont="1" applyFill="1" applyBorder="1" applyAlignment="1" applyProtection="1">
      <alignment horizontal="center" vertical="center" wrapText="1"/>
      <protection hidden="1"/>
    </xf>
    <xf numFmtId="0" fontId="11" fillId="2" borderId="91" xfId="0" applyFont="1" applyFill="1" applyBorder="1" applyAlignment="1" applyProtection="1">
      <alignment horizontal="center" vertical="center" wrapText="1"/>
      <protection hidden="1"/>
    </xf>
    <xf numFmtId="1" fontId="13" fillId="0" borderId="91" xfId="0" applyNumberFormat="1" applyFont="1" applyBorder="1" applyAlignment="1" applyProtection="1">
      <alignment horizontal="center" vertical="center" wrapText="1"/>
      <protection hidden="1"/>
    </xf>
    <xf numFmtId="1" fontId="13" fillId="0" borderId="96" xfId="0" applyNumberFormat="1" applyFont="1" applyBorder="1" applyAlignment="1" applyProtection="1">
      <alignment horizontal="center" vertical="center" wrapText="1"/>
      <protection hidden="1"/>
    </xf>
    <xf numFmtId="0" fontId="4" fillId="2" borderId="91" xfId="0" applyFont="1" applyFill="1" applyBorder="1" applyAlignment="1" applyProtection="1">
      <alignment horizontal="center" vertical="center" wrapText="1"/>
      <protection hidden="1"/>
    </xf>
    <xf numFmtId="0" fontId="9" fillId="0" borderId="91" xfId="0" applyNumberFormat="1" applyFont="1" applyBorder="1" applyAlignment="1" applyProtection="1">
      <alignment horizontal="center" wrapText="1"/>
      <protection hidden="1"/>
    </xf>
    <xf numFmtId="1" fontId="9" fillId="0" borderId="95" xfId="0" applyNumberFormat="1" applyFont="1" applyBorder="1" applyAlignment="1" applyProtection="1">
      <alignment horizontal="center" vertical="center" wrapText="1"/>
      <protection hidden="1"/>
    </xf>
    <xf numFmtId="1" fontId="9" fillId="0" borderId="96" xfId="0" applyNumberFormat="1" applyFont="1" applyBorder="1" applyAlignment="1" applyProtection="1">
      <alignment horizontal="center" vertical="center" wrapText="1"/>
      <protection hidden="1"/>
    </xf>
    <xf numFmtId="1" fontId="9" fillId="21" borderId="96" xfId="0" applyNumberFormat="1" applyFont="1" applyFill="1" applyBorder="1" applyAlignment="1" applyProtection="1">
      <alignment horizontal="center" vertical="center" wrapText="1"/>
      <protection locked="0"/>
    </xf>
    <xf numFmtId="0" fontId="9" fillId="6" borderId="101" xfId="0" applyFont="1" applyFill="1" applyBorder="1" applyAlignment="1" applyProtection="1">
      <alignment horizontal="center" wrapText="1"/>
      <protection hidden="1"/>
    </xf>
    <xf numFmtId="0" fontId="9" fillId="6" borderId="91" xfId="0" applyFont="1" applyFill="1" applyBorder="1" applyAlignment="1" applyProtection="1">
      <alignment horizontal="center" wrapText="1"/>
      <protection hidden="1"/>
    </xf>
    <xf numFmtId="1" fontId="9" fillId="0" borderId="91" xfId="0" applyNumberFormat="1" applyFont="1" applyBorder="1" applyAlignment="1" applyProtection="1">
      <alignment horizontal="center" vertical="center" wrapText="1"/>
      <protection hidden="1"/>
    </xf>
    <xf numFmtId="1" fontId="9" fillId="0" borderId="102" xfId="0" applyNumberFormat="1" applyFont="1" applyBorder="1" applyAlignment="1" applyProtection="1">
      <alignment horizontal="center" vertical="center" wrapText="1"/>
      <protection hidden="1"/>
    </xf>
    <xf numFmtId="0" fontId="2" fillId="0" borderId="92" xfId="0" applyFont="1" applyBorder="1" applyAlignment="1" applyProtection="1">
      <alignment horizontal="center" wrapText="1"/>
      <protection hidden="1"/>
    </xf>
    <xf numFmtId="0" fontId="2" fillId="0" borderId="93" xfId="0" applyFont="1" applyBorder="1" applyAlignment="1" applyProtection="1">
      <alignment horizontal="center" wrapText="1"/>
      <protection hidden="1"/>
    </xf>
    <xf numFmtId="0" fontId="2" fillId="0" borderId="94" xfId="0" applyFont="1" applyBorder="1" applyAlignment="1" applyProtection="1">
      <alignment horizontal="center" wrapText="1"/>
      <protection hidden="1"/>
    </xf>
    <xf numFmtId="0" fontId="9" fillId="2" borderId="101" xfId="0" applyFont="1" applyFill="1" applyBorder="1" applyAlignment="1" applyProtection="1">
      <alignment horizontal="center" vertical="center" wrapText="1"/>
      <protection hidden="1"/>
    </xf>
    <xf numFmtId="0" fontId="9" fillId="2" borderId="91" xfId="0" applyFont="1" applyFill="1" applyBorder="1" applyAlignment="1" applyProtection="1">
      <alignment horizontal="center" vertical="center" wrapText="1"/>
      <protection hidden="1"/>
    </xf>
    <xf numFmtId="2" fontId="9" fillId="2" borderId="91" xfId="0" applyNumberFormat="1" applyFont="1" applyFill="1" applyBorder="1" applyAlignment="1" applyProtection="1">
      <alignment horizontal="center" vertical="center" wrapText="1"/>
      <protection hidden="1"/>
    </xf>
    <xf numFmtId="2" fontId="9" fillId="2" borderId="102" xfId="0" applyNumberFormat="1" applyFont="1" applyFill="1" applyBorder="1" applyAlignment="1" applyProtection="1">
      <alignment horizontal="center" vertical="center" wrapText="1"/>
      <protection hidden="1"/>
    </xf>
    <xf numFmtId="2" fontId="11" fillId="2" borderId="91" xfId="0" applyNumberFormat="1" applyFont="1" applyFill="1" applyBorder="1" applyAlignment="1" applyProtection="1">
      <alignment horizontal="center" vertical="center" wrapText="1"/>
      <protection hidden="1"/>
    </xf>
    <xf numFmtId="0" fontId="1" fillId="0" borderId="176" xfId="0" applyFont="1" applyBorder="1" applyAlignment="1" applyProtection="1">
      <alignment horizontal="center" vertical="center" wrapText="1"/>
      <protection hidden="1"/>
    </xf>
    <xf numFmtId="0" fontId="1" fillId="0" borderId="177" xfId="0" applyFont="1" applyBorder="1" applyAlignment="1" applyProtection="1">
      <alignment horizontal="center" vertical="center" wrapText="1"/>
      <protection hidden="1"/>
    </xf>
    <xf numFmtId="0" fontId="1" fillId="0" borderId="178" xfId="0" applyFont="1" applyBorder="1" applyAlignment="1" applyProtection="1">
      <alignment horizontal="center" vertical="center" wrapText="1"/>
      <protection hidden="1"/>
    </xf>
    <xf numFmtId="0" fontId="11" fillId="2" borderId="101" xfId="0" applyFont="1" applyFill="1" applyBorder="1" applyAlignment="1" applyProtection="1">
      <alignment horizontal="center" vertical="center" wrapText="1"/>
      <protection hidden="1"/>
    </xf>
    <xf numFmtId="0" fontId="44" fillId="2" borderId="91" xfId="0" applyFont="1" applyFill="1" applyBorder="1" applyAlignment="1" applyProtection="1">
      <alignment horizontal="center" vertical="center" wrapText="1"/>
      <protection hidden="1"/>
    </xf>
    <xf numFmtId="0" fontId="44" fillId="2" borderId="102" xfId="0" applyFont="1" applyFill="1" applyBorder="1" applyAlignment="1" applyProtection="1">
      <alignment horizontal="center" vertical="center" wrapText="1"/>
      <protection hidden="1"/>
    </xf>
    <xf numFmtId="0" fontId="14" fillId="2" borderId="91" xfId="0" applyFont="1" applyFill="1" applyBorder="1" applyAlignment="1" applyProtection="1">
      <alignment horizontal="center" vertical="center" wrapText="1"/>
      <protection hidden="1"/>
    </xf>
    <xf numFmtId="184" fontId="4" fillId="2" borderId="172" xfId="0" applyNumberFormat="1" applyFont="1" applyFill="1" applyBorder="1" applyAlignment="1" applyProtection="1">
      <alignment horizontal="center" vertical="center" wrapText="1"/>
      <protection hidden="1"/>
    </xf>
    <xf numFmtId="184" fontId="4" fillId="2" borderId="174" xfId="0" applyNumberFormat="1" applyFont="1" applyFill="1" applyBorder="1" applyAlignment="1" applyProtection="1">
      <alignment horizontal="center" vertical="center" wrapText="1"/>
      <protection hidden="1"/>
    </xf>
    <xf numFmtId="0" fontId="13" fillId="0" borderId="91" xfId="0" applyFont="1" applyBorder="1" applyAlignment="1" applyProtection="1">
      <alignment horizontal="center" vertical="center" wrapText="1"/>
      <protection hidden="1"/>
    </xf>
    <xf numFmtId="0" fontId="13" fillId="0" borderId="96" xfId="0" applyFont="1" applyBorder="1" applyAlignment="1" applyProtection="1">
      <alignment horizontal="center" vertical="center" wrapText="1"/>
      <protection hidden="1"/>
    </xf>
    <xf numFmtId="0" fontId="45" fillId="2" borderId="95" xfId="0" applyFont="1" applyFill="1" applyBorder="1" applyAlignment="1" applyProtection="1">
      <alignment horizontal="left" vertical="top" wrapText="1"/>
      <protection hidden="1"/>
    </xf>
    <xf numFmtId="0" fontId="45" fillId="2" borderId="96" xfId="0" applyFont="1" applyFill="1" applyBorder="1" applyAlignment="1" applyProtection="1">
      <alignment horizontal="left" vertical="top" wrapText="1"/>
      <protection hidden="1"/>
    </xf>
    <xf numFmtId="0" fontId="45" fillId="2" borderId="107" xfId="0" applyFont="1" applyFill="1" applyBorder="1" applyAlignment="1" applyProtection="1">
      <alignment horizontal="left" vertical="top" wrapText="1"/>
      <protection hidden="1"/>
    </xf>
    <xf numFmtId="0" fontId="45" fillId="2" borderId="108" xfId="0" applyFont="1" applyFill="1" applyBorder="1" applyAlignment="1" applyProtection="1">
      <alignment horizontal="left" vertical="top" wrapText="1"/>
      <protection hidden="1"/>
    </xf>
    <xf numFmtId="0" fontId="44" fillId="2" borderId="101" xfId="0" applyFont="1" applyFill="1" applyBorder="1" applyAlignment="1" applyProtection="1">
      <alignment horizontal="center" vertical="center" wrapText="1"/>
      <protection hidden="1"/>
    </xf>
    <xf numFmtId="0" fontId="125" fillId="21" borderId="91" xfId="0" applyFont="1" applyFill="1" applyBorder="1" applyAlignment="1" applyProtection="1">
      <alignment horizontal="center" vertical="center" wrapText="1"/>
      <protection locked="0"/>
    </xf>
    <xf numFmtId="0" fontId="125" fillId="21" borderId="102" xfId="0" applyFont="1" applyFill="1" applyBorder="1" applyAlignment="1" applyProtection="1">
      <alignment horizontal="center" vertical="center" wrapText="1"/>
      <protection locked="0"/>
    </xf>
    <xf numFmtId="0" fontId="125" fillId="21" borderId="96" xfId="0" applyFont="1" applyFill="1" applyBorder="1" applyAlignment="1" applyProtection="1">
      <alignment horizontal="center" vertical="center" wrapText="1"/>
      <protection locked="0"/>
    </xf>
    <xf numFmtId="0" fontId="125" fillId="21" borderId="97" xfId="0" applyFont="1" applyFill="1" applyBorder="1" applyAlignment="1" applyProtection="1">
      <alignment horizontal="center" vertical="center" wrapText="1"/>
      <protection locked="0"/>
    </xf>
    <xf numFmtId="0" fontId="11" fillId="2" borderId="95" xfId="0" applyFont="1" applyFill="1" applyBorder="1" applyAlignment="1" applyProtection="1">
      <alignment horizontal="center" vertical="center" wrapText="1"/>
      <protection hidden="1"/>
    </xf>
    <xf numFmtId="0" fontId="11" fillId="2" borderId="96" xfId="0" applyFont="1" applyFill="1" applyBorder="1" applyAlignment="1" applyProtection="1">
      <alignment horizontal="center" vertical="center" wrapText="1"/>
      <protection hidden="1"/>
    </xf>
    <xf numFmtId="0" fontId="12" fillId="21" borderId="91" xfId="0" applyFont="1" applyFill="1" applyBorder="1" applyAlignment="1" applyProtection="1">
      <alignment horizontal="center" vertical="center" wrapText="1"/>
      <protection locked="0"/>
    </xf>
    <xf numFmtId="0" fontId="1" fillId="0" borderId="92" xfId="0" applyFont="1" applyBorder="1" applyAlignment="1" applyProtection="1">
      <alignment horizontal="center" wrapText="1"/>
      <protection hidden="1"/>
    </xf>
    <xf numFmtId="0" fontId="1" fillId="0" borderId="93" xfId="0" applyFont="1" applyBorder="1" applyAlignment="1" applyProtection="1">
      <alignment horizontal="center" wrapText="1"/>
      <protection hidden="1"/>
    </xf>
    <xf numFmtId="0" fontId="1" fillId="0" borderId="94" xfId="0" applyFont="1" applyBorder="1" applyAlignment="1" applyProtection="1">
      <alignment horizontal="center" wrapText="1"/>
      <protection hidden="1"/>
    </xf>
    <xf numFmtId="0" fontId="4" fillId="2" borderId="101" xfId="0" applyFont="1" applyFill="1" applyBorder="1" applyAlignment="1" applyProtection="1">
      <alignment horizontal="center" vertical="center" wrapText="1"/>
      <protection hidden="1"/>
    </xf>
    <xf numFmtId="2" fontId="11" fillId="2" borderId="91" xfId="0" applyNumberFormat="1" applyFont="1" applyFill="1" applyBorder="1" applyAlignment="1" applyProtection="1">
      <alignment horizontal="center" wrapText="1"/>
      <protection hidden="1"/>
    </xf>
    <xf numFmtId="2" fontId="2" fillId="2" borderId="91" xfId="0" applyNumberFormat="1" applyFont="1" applyFill="1" applyBorder="1" applyAlignment="1" applyProtection="1">
      <alignment horizontal="center" vertical="center" wrapText="1"/>
      <protection hidden="1"/>
    </xf>
    <xf numFmtId="2" fontId="12" fillId="2" borderId="91" xfId="0" applyNumberFormat="1" applyFont="1" applyFill="1" applyBorder="1" applyAlignment="1" applyProtection="1">
      <alignment horizontal="center" wrapText="1"/>
      <protection hidden="1"/>
    </xf>
    <xf numFmtId="2" fontId="12" fillId="2" borderId="91" xfId="0" applyNumberFormat="1" applyFont="1" applyFill="1" applyBorder="1" applyAlignment="1" applyProtection="1">
      <alignment horizontal="center" vertical="center" wrapText="1"/>
      <protection hidden="1"/>
    </xf>
    <xf numFmtId="2" fontId="12" fillId="2" borderId="102" xfId="0" applyNumberFormat="1" applyFont="1" applyFill="1" applyBorder="1" applyAlignment="1" applyProtection="1">
      <alignment horizontal="center" vertical="center" wrapText="1"/>
      <protection hidden="1"/>
    </xf>
    <xf numFmtId="0" fontId="1" fillId="0" borderId="91" xfId="0" applyFont="1" applyBorder="1" applyAlignment="1" applyProtection="1">
      <alignment horizontal="center" wrapText="1"/>
      <protection hidden="1"/>
    </xf>
    <xf numFmtId="0" fontId="1" fillId="0" borderId="102" xfId="0" applyFont="1" applyBorder="1" applyAlignment="1" applyProtection="1">
      <alignment horizontal="center" wrapText="1"/>
      <protection hidden="1"/>
    </xf>
    <xf numFmtId="1" fontId="1" fillId="0" borderId="91" xfId="0" applyNumberFormat="1" applyFont="1" applyBorder="1" applyAlignment="1" applyProtection="1">
      <alignment horizontal="center" wrapText="1"/>
      <protection hidden="1"/>
    </xf>
    <xf numFmtId="0" fontId="6" fillId="2" borderId="96" xfId="0" applyFont="1" applyFill="1" applyBorder="1" applyAlignment="1" applyProtection="1">
      <alignment horizontal="center" vertical="center" wrapText="1"/>
      <protection hidden="1"/>
    </xf>
    <xf numFmtId="0" fontId="10" fillId="0" borderId="96" xfId="0" applyFont="1" applyBorder="1" applyAlignment="1" applyProtection="1">
      <alignment horizontal="center" wrapText="1"/>
      <protection hidden="1"/>
    </xf>
    <xf numFmtId="0" fontId="10" fillId="0" borderId="97" xfId="0" applyFont="1" applyBorder="1" applyAlignment="1" applyProtection="1">
      <alignment horizontal="center" wrapText="1"/>
      <protection hidden="1"/>
    </xf>
    <xf numFmtId="1" fontId="9" fillId="0" borderId="101" xfId="0" applyNumberFormat="1" applyFont="1" applyBorder="1" applyAlignment="1" applyProtection="1">
      <alignment horizontal="center" vertical="center" wrapText="1"/>
      <protection hidden="1"/>
    </xf>
    <xf numFmtId="184" fontId="4" fillId="0" borderId="91" xfId="0" applyNumberFormat="1" applyFont="1" applyBorder="1" applyAlignment="1" applyProtection="1">
      <alignment horizontal="center" vertical="center" wrapText="1"/>
      <protection hidden="1"/>
    </xf>
    <xf numFmtId="184" fontId="4" fillId="0" borderId="154" xfId="0" applyNumberFormat="1" applyFont="1" applyBorder="1" applyAlignment="1" applyProtection="1">
      <alignment horizontal="center" vertical="center" wrapText="1"/>
      <protection hidden="1"/>
    </xf>
    <xf numFmtId="184" fontId="4" fillId="2" borderId="157" xfId="0" applyNumberFormat="1" applyFont="1" applyFill="1" applyBorder="1" applyAlignment="1" applyProtection="1">
      <alignment horizontal="center" vertical="center" wrapText="1"/>
      <protection hidden="1"/>
    </xf>
    <xf numFmtId="0" fontId="8" fillId="2" borderId="175" xfId="0" applyFont="1" applyFill="1" applyBorder="1" applyAlignment="1" applyProtection="1">
      <alignment horizontal="center" vertical="center" wrapText="1"/>
      <protection hidden="1"/>
    </xf>
    <xf numFmtId="184" fontId="4" fillId="0" borderId="103" xfId="0" applyNumberFormat="1" applyFont="1" applyBorder="1" applyAlignment="1" applyProtection="1">
      <alignment horizontal="center" vertical="center" wrapText="1"/>
      <protection hidden="1"/>
    </xf>
    <xf numFmtId="184" fontId="4" fillId="0" borderId="151" xfId="0" applyNumberFormat="1" applyFont="1" applyBorder="1" applyAlignment="1" applyProtection="1">
      <alignment horizontal="center" vertical="center" wrapText="1"/>
      <protection hidden="1"/>
    </xf>
    <xf numFmtId="0" fontId="8" fillId="2" borderId="196" xfId="0" applyFont="1" applyFill="1" applyBorder="1" applyAlignment="1" applyProtection="1">
      <alignment horizontal="center" vertical="center" wrapText="1"/>
      <protection hidden="1"/>
    </xf>
    <xf numFmtId="184" fontId="4" fillId="0" borderId="159" xfId="0" applyNumberFormat="1" applyFont="1" applyBorder="1" applyAlignment="1" applyProtection="1">
      <alignment horizontal="center" vertical="center" wrapText="1"/>
      <protection hidden="1"/>
    </xf>
    <xf numFmtId="184" fontId="4" fillId="0" borderId="152" xfId="0" applyNumberFormat="1" applyFont="1" applyBorder="1" applyAlignment="1" applyProtection="1">
      <alignment horizontal="center" vertical="center" wrapText="1"/>
      <protection hidden="1"/>
    </xf>
    <xf numFmtId="0" fontId="1" fillId="2" borderId="33" xfId="0" applyFont="1" applyFill="1" applyBorder="1" applyAlignment="1" applyProtection="1">
      <alignment horizontal="center" vertical="center" wrapText="1"/>
      <protection hidden="1"/>
    </xf>
    <xf numFmtId="0" fontId="1" fillId="2" borderId="76" xfId="0" applyFont="1" applyFill="1" applyBorder="1" applyAlignment="1" applyProtection="1">
      <alignment horizontal="center" vertical="center" wrapText="1"/>
      <protection hidden="1"/>
    </xf>
    <xf numFmtId="0" fontId="1" fillId="2" borderId="166" xfId="0" applyFont="1" applyFill="1" applyBorder="1" applyAlignment="1" applyProtection="1">
      <alignment horizontal="center" vertical="center" wrapText="1"/>
      <protection hidden="1"/>
    </xf>
    <xf numFmtId="0" fontId="1" fillId="2" borderId="165" xfId="0" applyFont="1" applyFill="1" applyBorder="1" applyAlignment="1" applyProtection="1">
      <alignment horizontal="center" vertical="center" wrapText="1"/>
      <protection hidden="1"/>
    </xf>
    <xf numFmtId="184" fontId="4" fillId="2" borderId="169" xfId="0" applyNumberFormat="1" applyFont="1" applyFill="1" applyBorder="1" applyAlignment="1" applyProtection="1">
      <alignment horizontal="center" vertical="center" wrapText="1"/>
      <protection hidden="1"/>
    </xf>
    <xf numFmtId="184" fontId="4" fillId="2" borderId="170" xfId="0" applyNumberFormat="1" applyFont="1" applyFill="1" applyBorder="1" applyAlignment="1" applyProtection="1">
      <alignment horizontal="center" vertical="center" wrapText="1"/>
      <protection hidden="1"/>
    </xf>
    <xf numFmtId="184" fontId="4" fillId="2" borderId="171" xfId="0" applyNumberFormat="1" applyFont="1" applyFill="1" applyBorder="1" applyAlignment="1" applyProtection="1">
      <alignment horizontal="center" vertical="center" wrapText="1"/>
      <protection hidden="1"/>
    </xf>
    <xf numFmtId="184" fontId="4" fillId="2" borderId="173" xfId="0" applyNumberFormat="1" applyFont="1" applyFill="1" applyBorder="1" applyAlignment="1" applyProtection="1">
      <alignment horizontal="center" vertical="center" wrapText="1"/>
      <protection hidden="1"/>
    </xf>
    <xf numFmtId="169" fontId="12" fillId="0" borderId="96" xfId="0" applyNumberFormat="1" applyFont="1" applyBorder="1" applyAlignment="1" applyProtection="1">
      <alignment horizontal="center" vertical="center" wrapText="1"/>
      <protection hidden="1"/>
    </xf>
    <xf numFmtId="0" fontId="8" fillId="0" borderId="91" xfId="0" applyFont="1" applyBorder="1" applyAlignment="1" applyProtection="1">
      <alignment horizontal="center" vertical="center" wrapText="1"/>
      <protection hidden="1"/>
    </xf>
    <xf numFmtId="1" fontId="4" fillId="0" borderId="96" xfId="0" applyNumberFormat="1" applyFont="1" applyBorder="1" applyAlignment="1" applyProtection="1">
      <alignment horizontal="center" vertical="center" wrapText="1"/>
      <protection hidden="1"/>
    </xf>
    <xf numFmtId="0" fontId="11" fillId="2" borderId="102" xfId="0" applyFont="1" applyFill="1" applyBorder="1" applyAlignment="1" applyProtection="1">
      <alignment horizontal="center" vertical="center" wrapText="1"/>
      <protection hidden="1"/>
    </xf>
    <xf numFmtId="0" fontId="11" fillId="2" borderId="192" xfId="0" applyFont="1" applyFill="1" applyBorder="1" applyAlignment="1" applyProtection="1">
      <alignment horizontal="center" vertical="center" wrapText="1"/>
      <protection hidden="1"/>
    </xf>
    <xf numFmtId="0" fontId="11" fillId="2" borderId="186" xfId="0" applyFont="1" applyFill="1" applyBorder="1" applyAlignment="1" applyProtection="1">
      <alignment horizontal="center" vertical="center" wrapText="1"/>
      <protection hidden="1"/>
    </xf>
    <xf numFmtId="0" fontId="1" fillId="2" borderId="190" xfId="0" applyFont="1" applyFill="1" applyBorder="1" applyAlignment="1" applyProtection="1">
      <alignment horizontal="center" vertical="center" wrapText="1"/>
      <protection hidden="1"/>
    </xf>
    <xf numFmtId="0" fontId="1" fillId="2" borderId="182" xfId="0" applyFont="1" applyFill="1" applyBorder="1" applyAlignment="1" applyProtection="1">
      <alignment horizontal="center" vertical="center" wrapText="1"/>
      <protection hidden="1"/>
    </xf>
    <xf numFmtId="0" fontId="1" fillId="2" borderId="191" xfId="0" applyFont="1" applyFill="1" applyBorder="1" applyAlignment="1" applyProtection="1">
      <alignment horizontal="center" vertical="center" wrapText="1"/>
      <protection hidden="1"/>
    </xf>
    <xf numFmtId="0" fontId="1" fillId="2" borderId="152" xfId="0" applyFont="1" applyFill="1" applyBorder="1" applyAlignment="1" applyProtection="1">
      <alignment horizontal="center" vertical="center" wrapText="1"/>
      <protection hidden="1"/>
    </xf>
    <xf numFmtId="0" fontId="1" fillId="2" borderId="184" xfId="0" applyFont="1" applyFill="1" applyBorder="1" applyAlignment="1" applyProtection="1">
      <alignment horizontal="center" vertical="center" wrapText="1"/>
      <protection hidden="1"/>
    </xf>
    <xf numFmtId="0" fontId="1" fillId="2" borderId="194" xfId="0" applyFont="1" applyFill="1" applyBorder="1" applyAlignment="1" applyProtection="1">
      <alignment horizontal="center" vertical="center" wrapText="1"/>
      <protection hidden="1"/>
    </xf>
    <xf numFmtId="0" fontId="12" fillId="2" borderId="91" xfId="0" applyFont="1" applyFill="1" applyBorder="1" applyAlignment="1" applyProtection="1">
      <alignment horizontal="center" vertical="center" wrapText="1"/>
      <protection hidden="1"/>
    </xf>
    <xf numFmtId="0" fontId="8" fillId="0" borderId="102" xfId="0" applyFont="1" applyBorder="1" applyAlignment="1" applyProtection="1">
      <alignment horizontal="center" vertical="center" wrapText="1"/>
      <protection hidden="1"/>
    </xf>
    <xf numFmtId="172" fontId="4" fillId="3" borderId="96" xfId="0" applyNumberFormat="1" applyFont="1" applyFill="1" applyBorder="1" applyAlignment="1" applyProtection="1">
      <alignment horizontal="center" vertical="center" wrapText="1"/>
      <protection hidden="1"/>
    </xf>
    <xf numFmtId="172" fontId="4" fillId="3" borderId="97" xfId="0" applyNumberFormat="1" applyFont="1" applyFill="1" applyBorder="1" applyAlignment="1" applyProtection="1">
      <alignment horizontal="center" vertical="center" wrapText="1"/>
      <protection hidden="1"/>
    </xf>
    <xf numFmtId="169" fontId="2" fillId="0" borderId="96" xfId="0" applyNumberFormat="1" applyFont="1" applyBorder="1" applyAlignment="1" applyProtection="1">
      <alignment horizontal="center" vertical="center" wrapText="1"/>
      <protection hidden="1"/>
    </xf>
    <xf numFmtId="1" fontId="9" fillId="0" borderId="109" xfId="0" applyNumberFormat="1" applyFont="1" applyBorder="1" applyAlignment="1" applyProtection="1">
      <alignment horizontal="center" vertical="center" wrapText="1"/>
      <protection hidden="1"/>
    </xf>
    <xf numFmtId="1" fontId="9" fillId="0" borderId="104" xfId="0" applyNumberFormat="1" applyFont="1" applyBorder="1" applyAlignment="1" applyProtection="1">
      <alignment horizontal="center" vertical="center" wrapText="1"/>
      <protection hidden="1"/>
    </xf>
    <xf numFmtId="1" fontId="9" fillId="0" borderId="110" xfId="0" applyNumberFormat="1" applyFont="1" applyBorder="1" applyAlignment="1" applyProtection="1">
      <alignment horizontal="center" vertical="center" wrapText="1"/>
      <protection hidden="1"/>
    </xf>
    <xf numFmtId="0" fontId="11" fillId="2" borderId="188" xfId="0" applyFont="1" applyFill="1" applyBorder="1" applyAlignment="1" applyProtection="1">
      <alignment horizontal="center" vertical="center" wrapText="1"/>
      <protection hidden="1"/>
    </xf>
    <xf numFmtId="0" fontId="11" fillId="2" borderId="193" xfId="0" applyFont="1" applyFill="1" applyBorder="1" applyAlignment="1" applyProtection="1">
      <alignment horizontal="center" vertical="center" wrapText="1"/>
      <protection hidden="1"/>
    </xf>
    <xf numFmtId="0" fontId="14" fillId="2" borderId="190" xfId="0" applyFont="1" applyFill="1" applyBorder="1" applyAlignment="1" applyProtection="1">
      <alignment horizontal="center" vertical="center" wrapText="1"/>
      <protection hidden="1"/>
    </xf>
    <xf numFmtId="0" fontId="14" fillId="2" borderId="182" xfId="0" applyFont="1" applyFill="1" applyBorder="1" applyAlignment="1" applyProtection="1">
      <alignment horizontal="center" vertical="center" wrapText="1"/>
      <protection hidden="1"/>
    </xf>
    <xf numFmtId="0" fontId="44" fillId="2" borderId="190" xfId="0" applyFont="1" applyFill="1" applyBorder="1" applyAlignment="1" applyProtection="1">
      <alignment horizontal="center" vertical="center" wrapText="1"/>
      <protection hidden="1"/>
    </xf>
    <xf numFmtId="0" fontId="44" fillId="2" borderId="182" xfId="0" applyFont="1" applyFill="1" applyBorder="1" applyAlignment="1" applyProtection="1">
      <alignment horizontal="center" vertical="center" wrapText="1"/>
      <protection hidden="1"/>
    </xf>
    <xf numFmtId="14" fontId="11" fillId="2" borderId="189" xfId="0" applyNumberFormat="1" applyFont="1" applyFill="1" applyBorder="1" applyAlignment="1" applyProtection="1">
      <alignment horizontal="center" vertical="center" wrapText="1"/>
      <protection hidden="1"/>
    </xf>
    <xf numFmtId="14" fontId="11" fillId="2" borderId="183" xfId="0" applyNumberFormat="1" applyFont="1" applyFill="1" applyBorder="1" applyAlignment="1" applyProtection="1">
      <alignment horizontal="center" vertical="center" wrapText="1"/>
      <protection hidden="1"/>
    </xf>
    <xf numFmtId="0" fontId="1" fillId="2" borderId="169" xfId="0" applyFont="1" applyFill="1" applyBorder="1" applyAlignment="1" applyProtection="1">
      <alignment horizontal="center" vertical="center" wrapText="1"/>
      <protection hidden="1"/>
    </xf>
    <xf numFmtId="0" fontId="1" fillId="2" borderId="185" xfId="0" applyFont="1" applyFill="1" applyBorder="1" applyAlignment="1" applyProtection="1">
      <alignment horizontal="center" vertical="center" wrapText="1"/>
      <protection hidden="1"/>
    </xf>
    <xf numFmtId="0" fontId="8" fillId="0" borderId="101" xfId="0" applyFont="1" applyBorder="1" applyAlignment="1" applyProtection="1">
      <alignment horizontal="center" vertical="center" wrapText="1"/>
      <protection hidden="1"/>
    </xf>
    <xf numFmtId="0" fontId="3" fillId="7" borderId="0" xfId="0" applyFont="1" applyFill="1" applyBorder="1" applyAlignment="1" applyProtection="1">
      <alignment horizontal="center"/>
      <protection hidden="1"/>
    </xf>
    <xf numFmtId="0" fontId="3" fillId="0" borderId="93" xfId="0" applyFont="1" applyBorder="1"/>
    <xf numFmtId="0" fontId="3" fillId="0" borderId="94" xfId="0" applyFont="1" applyBorder="1"/>
    <xf numFmtId="180" fontId="4" fillId="0" borderId="91" xfId="0" applyNumberFormat="1" applyFont="1" applyBorder="1" applyAlignment="1" applyProtection="1">
      <alignment horizontal="center" vertical="center" wrapText="1"/>
      <protection hidden="1"/>
    </xf>
    <xf numFmtId="180" fontId="5" fillId="0" borderId="91" xfId="0" applyNumberFormat="1" applyFont="1" applyBorder="1" applyAlignment="1" applyProtection="1">
      <alignment horizontal="center" vertical="center" wrapText="1"/>
      <protection hidden="1"/>
    </xf>
    <xf numFmtId="164" fontId="8" fillId="0" borderId="91" xfId="0" applyNumberFormat="1" applyFont="1" applyBorder="1" applyAlignment="1" applyProtection="1">
      <alignment horizontal="center" vertical="center" wrapText="1"/>
      <protection hidden="1"/>
    </xf>
    <xf numFmtId="0" fontId="8" fillId="0" borderId="91" xfId="0" applyNumberFormat="1" applyFont="1" applyBorder="1" applyAlignment="1" applyProtection="1">
      <alignment horizontal="center" vertical="center" wrapText="1"/>
      <protection hidden="1"/>
    </xf>
    <xf numFmtId="0" fontId="8" fillId="0" borderId="102" xfId="0" applyNumberFormat="1" applyFont="1" applyBorder="1" applyAlignment="1" applyProtection="1">
      <alignment horizontal="center" vertical="center" wrapText="1"/>
      <protection hidden="1"/>
    </xf>
    <xf numFmtId="0" fontId="4" fillId="0" borderId="91" xfId="0" applyFont="1" applyBorder="1" applyAlignment="1" applyProtection="1">
      <alignment horizontal="center" vertical="center" wrapText="1"/>
      <protection hidden="1"/>
    </xf>
    <xf numFmtId="0" fontId="5" fillId="0" borderId="91" xfId="0" applyFont="1" applyBorder="1" applyAlignment="1" applyProtection="1">
      <alignment horizontal="center" vertical="center" wrapText="1"/>
      <protection hidden="1"/>
    </xf>
    <xf numFmtId="49" fontId="4" fillId="0" borderId="91" xfId="0" applyNumberFormat="1" applyFont="1" applyBorder="1" applyAlignment="1" applyProtection="1">
      <alignment horizontal="center" vertical="center" wrapText="1"/>
      <protection hidden="1"/>
    </xf>
    <xf numFmtId="0" fontId="4" fillId="0" borderId="91" xfId="0" applyNumberFormat="1" applyFont="1" applyBorder="1" applyAlignment="1" applyProtection="1">
      <alignment horizontal="center" vertical="center" wrapText="1"/>
      <protection hidden="1"/>
    </xf>
    <xf numFmtId="0" fontId="4" fillId="0" borderId="102" xfId="0" applyNumberFormat="1" applyFont="1" applyBorder="1" applyAlignment="1" applyProtection="1">
      <alignment horizontal="center" vertical="center" wrapText="1"/>
      <protection hidden="1"/>
    </xf>
    <xf numFmtId="0" fontId="1" fillId="2" borderId="98" xfId="0" applyFont="1" applyFill="1" applyBorder="1" applyAlignment="1" applyProtection="1">
      <alignment horizontal="center" vertical="center" wrapText="1"/>
      <protection hidden="1"/>
    </xf>
    <xf numFmtId="0" fontId="1" fillId="2" borderId="99" xfId="0" applyFont="1" applyFill="1" applyBorder="1" applyAlignment="1" applyProtection="1">
      <alignment horizontal="center" vertical="center" wrapText="1"/>
      <protection hidden="1"/>
    </xf>
    <xf numFmtId="0" fontId="4" fillId="0" borderId="92" xfId="0" applyFont="1" applyBorder="1" applyAlignment="1" applyProtection="1">
      <alignment horizontal="right" vertical="center" wrapText="1"/>
      <protection hidden="1"/>
    </xf>
    <xf numFmtId="0" fontId="4" fillId="0" borderId="93" xfId="0" applyFont="1" applyBorder="1" applyAlignment="1" applyProtection="1">
      <alignment horizontal="right" vertical="center" wrapText="1"/>
      <protection hidden="1"/>
    </xf>
    <xf numFmtId="164" fontId="1" fillId="0" borderId="93" xfId="0" applyNumberFormat="1" applyFont="1" applyBorder="1" applyAlignment="1" applyProtection="1">
      <alignment horizontal="center" vertical="center" wrapText="1"/>
      <protection hidden="1"/>
    </xf>
    <xf numFmtId="0" fontId="4" fillId="0" borderId="93" xfId="0" applyFont="1" applyBorder="1" applyAlignment="1" applyProtection="1">
      <alignment horizontal="left" vertical="center" wrapText="1"/>
      <protection hidden="1"/>
    </xf>
    <xf numFmtId="0" fontId="4" fillId="0" borderId="94" xfId="0" applyFont="1" applyBorder="1" applyAlignment="1" applyProtection="1">
      <alignment horizontal="left" vertical="center" wrapText="1"/>
      <protection hidden="1"/>
    </xf>
    <xf numFmtId="0" fontId="4" fillId="2" borderId="96" xfId="0" applyFont="1" applyFill="1" applyBorder="1" applyAlignment="1" applyProtection="1">
      <alignment horizontal="center" vertical="top" wrapText="1"/>
      <protection hidden="1"/>
    </xf>
    <xf numFmtId="0" fontId="1" fillId="0" borderId="180" xfId="0" applyFont="1" applyBorder="1" applyAlignment="1" applyProtection="1">
      <alignment horizontal="center" wrapText="1"/>
      <protection hidden="1"/>
    </xf>
    <xf numFmtId="0" fontId="1" fillId="0" borderId="179" xfId="0" applyFont="1" applyBorder="1" applyAlignment="1" applyProtection="1">
      <alignment horizontal="center" wrapText="1"/>
      <protection hidden="1"/>
    </xf>
    <xf numFmtId="0" fontId="1" fillId="0" borderId="181" xfId="0" applyFont="1" applyBorder="1" applyAlignment="1" applyProtection="1">
      <alignment horizontal="center" wrapText="1"/>
      <protection hidden="1"/>
    </xf>
    <xf numFmtId="0" fontId="128" fillId="17" borderId="0" xfId="1" applyFont="1" applyFill="1" applyBorder="1" applyAlignment="1" applyProtection="1">
      <alignment horizontal="center" vertical="center"/>
      <protection hidden="1"/>
    </xf>
    <xf numFmtId="164" fontId="2" fillId="2" borderId="99" xfId="0" applyNumberFormat="1" applyFont="1" applyFill="1" applyBorder="1" applyAlignment="1" applyProtection="1">
      <alignment horizontal="left" vertical="center" wrapText="1"/>
      <protection hidden="1"/>
    </xf>
    <xf numFmtId="164" fontId="10" fillId="2" borderId="99" xfId="0" applyNumberFormat="1" applyFont="1" applyFill="1" applyBorder="1" applyAlignment="1" applyProtection="1">
      <alignment horizontal="center" vertical="center" wrapText="1"/>
      <protection hidden="1"/>
    </xf>
    <xf numFmtId="164" fontId="10" fillId="2" borderId="100" xfId="0" applyNumberFormat="1" applyFont="1" applyFill="1" applyBorder="1" applyAlignment="1" applyProtection="1">
      <alignment horizontal="center" vertical="center" wrapText="1"/>
      <protection hidden="1"/>
    </xf>
    <xf numFmtId="0" fontId="6" fillId="2" borderId="101" xfId="0" applyFont="1" applyFill="1" applyBorder="1" applyAlignment="1" applyProtection="1">
      <alignment horizontal="center" vertical="center" wrapText="1"/>
      <protection hidden="1"/>
    </xf>
    <xf numFmtId="0" fontId="6" fillId="2" borderId="95" xfId="0" applyFont="1" applyFill="1" applyBorder="1" applyAlignment="1" applyProtection="1">
      <alignment horizontal="center" vertical="center" wrapText="1"/>
      <protection hidden="1"/>
    </xf>
    <xf numFmtId="1" fontId="7" fillId="0" borderId="91" xfId="0" applyNumberFormat="1" applyFont="1" applyBorder="1" applyAlignment="1" applyProtection="1">
      <alignment horizontal="center" vertical="center" wrapText="1"/>
      <protection hidden="1"/>
    </xf>
    <xf numFmtId="0" fontId="7" fillId="0" borderId="91" xfId="0" applyNumberFormat="1" applyFont="1" applyBorder="1" applyAlignment="1" applyProtection="1">
      <alignment horizontal="center" vertical="center" wrapText="1"/>
      <protection hidden="1"/>
    </xf>
    <xf numFmtId="0" fontId="8" fillId="2" borderId="91" xfId="0" applyFont="1" applyFill="1" applyBorder="1" applyAlignment="1" applyProtection="1">
      <alignment horizontal="center" vertical="center" wrapText="1"/>
      <protection hidden="1"/>
    </xf>
    <xf numFmtId="0" fontId="7" fillId="0" borderId="102" xfId="0" applyNumberFormat="1" applyFont="1" applyBorder="1" applyAlignment="1" applyProtection="1">
      <alignment horizontal="center" vertical="center" wrapText="1"/>
      <protection hidden="1"/>
    </xf>
    <xf numFmtId="1" fontId="7" fillId="0" borderId="96" xfId="0" applyNumberFormat="1" applyFont="1" applyBorder="1" applyAlignment="1" applyProtection="1">
      <alignment horizontal="center" vertical="center" wrapText="1"/>
      <protection hidden="1"/>
    </xf>
    <xf numFmtId="0" fontId="7" fillId="0" borderId="96" xfId="0" applyNumberFormat="1" applyFont="1" applyBorder="1" applyAlignment="1" applyProtection="1">
      <alignment horizontal="center" vertical="center" wrapText="1"/>
      <protection hidden="1"/>
    </xf>
    <xf numFmtId="0" fontId="5" fillId="0" borderId="91" xfId="0" applyNumberFormat="1" applyFont="1" applyBorder="1" applyAlignment="1" applyProtection="1">
      <alignment horizontal="center" vertical="center" wrapText="1"/>
      <protection hidden="1"/>
    </xf>
    <xf numFmtId="1" fontId="4" fillId="0" borderId="91" xfId="0" applyNumberFormat="1" applyFont="1" applyBorder="1" applyAlignment="1" applyProtection="1">
      <alignment horizontal="center" vertical="center" wrapText="1"/>
      <protection hidden="1"/>
    </xf>
    <xf numFmtId="1" fontId="7" fillId="0" borderId="96" xfId="0" applyNumberFormat="1" applyFont="1" applyBorder="1" applyAlignment="1" applyProtection="1">
      <alignment horizontal="center" vertical="top" wrapText="1"/>
      <protection hidden="1"/>
    </xf>
    <xf numFmtId="0" fontId="7" fillId="0" borderId="96" xfId="0" applyNumberFormat="1" applyFont="1" applyBorder="1" applyAlignment="1" applyProtection="1">
      <alignment horizontal="center" vertical="top" wrapText="1"/>
      <protection hidden="1"/>
    </xf>
    <xf numFmtId="0" fontId="7" fillId="0" borderId="97" xfId="0" applyNumberFormat="1" applyFont="1" applyBorder="1" applyAlignment="1" applyProtection="1">
      <alignment horizontal="center" vertical="top" wrapText="1"/>
      <protection hidden="1"/>
    </xf>
    <xf numFmtId="0" fontId="3" fillId="7" borderId="9" xfId="0" applyFont="1" applyFill="1" applyBorder="1" applyAlignment="1" applyProtection="1">
      <alignment horizontal="center" vertical="center"/>
      <protection hidden="1"/>
    </xf>
    <xf numFmtId="0" fontId="5" fillId="24" borderId="130" xfId="0" applyFont="1" applyFill="1" applyBorder="1" applyAlignment="1" applyProtection="1">
      <alignment horizontal="center"/>
      <protection hidden="1"/>
    </xf>
    <xf numFmtId="0" fontId="5" fillId="24" borderId="131" xfId="0" applyFont="1" applyFill="1" applyBorder="1" applyAlignment="1" applyProtection="1">
      <alignment horizontal="center"/>
      <protection hidden="1"/>
    </xf>
    <xf numFmtId="0" fontId="53" fillId="24" borderId="130" xfId="0" applyFont="1" applyFill="1" applyBorder="1" applyAlignment="1" applyProtection="1">
      <alignment horizontal="center"/>
      <protection hidden="1"/>
    </xf>
    <xf numFmtId="165" fontId="21" fillId="24" borderId="151" xfId="0" applyNumberFormat="1" applyFont="1" applyFill="1" applyBorder="1" applyAlignment="1" applyProtection="1">
      <alignment horizontal="center" vertical="center"/>
      <protection hidden="1"/>
    </xf>
    <xf numFmtId="165" fontId="21" fillId="24" borderId="152" xfId="0" applyNumberFormat="1" applyFont="1" applyFill="1" applyBorder="1" applyAlignment="1" applyProtection="1">
      <alignment horizontal="center" vertical="center"/>
      <protection hidden="1"/>
    </xf>
    <xf numFmtId="165" fontId="21" fillId="24" borderId="156" xfId="0" applyNumberFormat="1" applyFont="1" applyFill="1" applyBorder="1" applyAlignment="1" applyProtection="1">
      <alignment horizontal="center" vertical="center"/>
      <protection hidden="1"/>
    </xf>
    <xf numFmtId="165" fontId="21" fillId="24" borderId="157" xfId="0" applyNumberFormat="1" applyFont="1" applyFill="1" applyBorder="1" applyAlignment="1" applyProtection="1">
      <alignment horizontal="center" vertical="center"/>
      <protection hidden="1"/>
    </xf>
    <xf numFmtId="165" fontId="126" fillId="24" borderId="91" xfId="0" applyNumberFormat="1" applyFont="1" applyFill="1" applyBorder="1" applyAlignment="1" applyProtection="1">
      <alignment horizontal="center" vertical="center" wrapText="1"/>
      <protection hidden="1"/>
    </xf>
    <xf numFmtId="165" fontId="126" fillId="24" borderId="154" xfId="0" applyNumberFormat="1" applyFont="1" applyFill="1" applyBorder="1" applyAlignment="1" applyProtection="1">
      <alignment horizontal="center" vertical="center" wrapText="1"/>
      <protection hidden="1"/>
    </xf>
    <xf numFmtId="165" fontId="126" fillId="24" borderId="103" xfId="0" applyNumberFormat="1" applyFont="1" applyFill="1" applyBorder="1" applyAlignment="1" applyProtection="1">
      <alignment horizontal="center" vertical="center" wrapText="1"/>
      <protection hidden="1"/>
    </xf>
    <xf numFmtId="165" fontId="126" fillId="24" borderId="159" xfId="0" applyNumberFormat="1" applyFont="1" applyFill="1" applyBorder="1" applyAlignment="1" applyProtection="1">
      <alignment horizontal="center" vertical="center" wrapText="1"/>
      <protection hidden="1"/>
    </xf>
    <xf numFmtId="165" fontId="126" fillId="24" borderId="106" xfId="0" applyNumberFormat="1" applyFont="1" applyFill="1" applyBorder="1" applyAlignment="1" applyProtection="1">
      <alignment horizontal="center" vertical="center" wrapText="1"/>
      <protection hidden="1"/>
    </xf>
    <xf numFmtId="165" fontId="126" fillId="24" borderId="197" xfId="0" applyNumberFormat="1" applyFont="1" applyFill="1" applyBorder="1" applyAlignment="1" applyProtection="1">
      <alignment horizontal="center" vertical="center" wrapText="1"/>
      <protection hidden="1"/>
    </xf>
    <xf numFmtId="180" fontId="2" fillId="24" borderId="161" xfId="0" applyNumberFormat="1" applyFont="1" applyFill="1" applyBorder="1" applyAlignment="1" applyProtection="1">
      <alignment horizontal="center" vertical="center" wrapText="1"/>
      <protection hidden="1"/>
    </xf>
    <xf numFmtId="180" fontId="2" fillId="24" borderId="162" xfId="0" applyNumberFormat="1" applyFont="1" applyFill="1" applyBorder="1" applyAlignment="1" applyProtection="1">
      <alignment horizontal="center" vertical="center" wrapText="1"/>
      <protection hidden="1"/>
    </xf>
    <xf numFmtId="1" fontId="4" fillId="24" borderId="160" xfId="0" applyNumberFormat="1" applyFont="1" applyFill="1" applyBorder="1" applyAlignment="1" applyProtection="1">
      <alignment horizontal="center" vertical="center" wrapText="1"/>
      <protection hidden="1"/>
    </xf>
    <xf numFmtId="1" fontId="4" fillId="24" borderId="161" xfId="0" applyNumberFormat="1" applyFont="1" applyFill="1" applyBorder="1" applyAlignment="1" applyProtection="1">
      <alignment horizontal="center" vertical="center" wrapText="1"/>
      <protection hidden="1"/>
    </xf>
    <xf numFmtId="1" fontId="4" fillId="24" borderId="164" xfId="0" applyNumberFormat="1" applyFont="1" applyFill="1" applyBorder="1" applyAlignment="1" applyProtection="1">
      <alignment horizontal="center" vertical="center" wrapText="1"/>
      <protection hidden="1"/>
    </xf>
    <xf numFmtId="0" fontId="48" fillId="24" borderId="117" xfId="0" applyFont="1" applyFill="1" applyBorder="1" applyAlignment="1" applyProtection="1">
      <alignment horizontal="center" vertical="center" wrapText="1"/>
      <protection hidden="1"/>
    </xf>
    <xf numFmtId="0" fontId="48" fillId="24" borderId="118" xfId="0" applyFont="1" applyFill="1" applyBorder="1" applyAlignment="1" applyProtection="1">
      <alignment horizontal="center" vertical="center" wrapText="1"/>
      <protection hidden="1"/>
    </xf>
    <xf numFmtId="0" fontId="48" fillId="24" borderId="114" xfId="0" applyFont="1" applyFill="1" applyBorder="1" applyAlignment="1" applyProtection="1">
      <alignment horizontal="center" vertical="center" wrapText="1"/>
      <protection hidden="1"/>
    </xf>
    <xf numFmtId="0" fontId="48" fillId="24" borderId="120" xfId="0" applyFont="1" applyFill="1" applyBorder="1" applyAlignment="1" applyProtection="1">
      <alignment horizontal="center" vertical="center" wrapText="1"/>
      <protection hidden="1"/>
    </xf>
    <xf numFmtId="0" fontId="48" fillId="24" borderId="127" xfId="0" applyFont="1" applyFill="1" applyBorder="1" applyAlignment="1" applyProtection="1">
      <alignment horizontal="center" vertical="center" wrapText="1"/>
      <protection hidden="1"/>
    </xf>
    <xf numFmtId="0" fontId="48" fillId="24" borderId="128" xfId="0" applyFont="1" applyFill="1" applyBorder="1" applyAlignment="1" applyProtection="1">
      <alignment horizontal="center" vertical="center" wrapText="1"/>
      <protection hidden="1"/>
    </xf>
    <xf numFmtId="165" fontId="126" fillId="24" borderId="151" xfId="0" applyNumberFormat="1" applyFont="1" applyFill="1" applyBorder="1" applyAlignment="1" applyProtection="1">
      <alignment horizontal="center" vertical="center" wrapText="1"/>
      <protection hidden="1"/>
    </xf>
    <xf numFmtId="165" fontId="126" fillId="24" borderId="152" xfId="0" applyNumberFormat="1" applyFont="1" applyFill="1" applyBorder="1" applyAlignment="1" applyProtection="1">
      <alignment horizontal="center" vertical="center" wrapText="1"/>
      <protection hidden="1"/>
    </xf>
    <xf numFmtId="49" fontId="2" fillId="24" borderId="114" xfId="0" applyNumberFormat="1" applyFont="1" applyFill="1" applyBorder="1" applyAlignment="1" applyProtection="1">
      <alignment horizontal="center" vertical="center" wrapText="1"/>
      <protection hidden="1"/>
    </xf>
    <xf numFmtId="49" fontId="2" fillId="24" borderId="120" xfId="0" applyNumberFormat="1" applyFont="1" applyFill="1" applyBorder="1" applyAlignment="1" applyProtection="1">
      <alignment horizontal="center" vertical="center" wrapText="1"/>
      <protection hidden="1"/>
    </xf>
    <xf numFmtId="1" fontId="2" fillId="24" borderId="114" xfId="0" applyNumberFormat="1" applyFont="1" applyFill="1" applyBorder="1" applyAlignment="1" applyProtection="1">
      <alignment horizontal="center" vertical="center" wrapText="1"/>
      <protection hidden="1"/>
    </xf>
    <xf numFmtId="1" fontId="2" fillId="24" borderId="120" xfId="0" applyNumberFormat="1" applyFont="1" applyFill="1" applyBorder="1" applyAlignment="1" applyProtection="1">
      <alignment horizontal="center" vertical="center" wrapText="1"/>
      <protection hidden="1"/>
    </xf>
    <xf numFmtId="0" fontId="48" fillId="24" borderId="27" xfId="0" applyNumberFormat="1" applyFont="1" applyFill="1" applyBorder="1" applyAlignment="1" applyProtection="1">
      <alignment horizontal="right" vertical="center" wrapText="1"/>
      <protection hidden="1"/>
    </xf>
    <xf numFmtId="0" fontId="48" fillId="24" borderId="135" xfId="0" applyNumberFormat="1" applyFont="1" applyFill="1" applyBorder="1" applyAlignment="1" applyProtection="1">
      <alignment horizontal="right" vertical="center" wrapText="1"/>
      <protection hidden="1"/>
    </xf>
    <xf numFmtId="1" fontId="2" fillId="24" borderId="122" xfId="0" applyNumberFormat="1" applyFont="1" applyFill="1" applyBorder="1" applyAlignment="1" applyProtection="1">
      <alignment horizontal="center" vertical="center" wrapText="1"/>
      <protection hidden="1"/>
    </xf>
    <xf numFmtId="1" fontId="2" fillId="24" borderId="123" xfId="0" applyNumberFormat="1" applyFont="1" applyFill="1" applyBorder="1" applyAlignment="1" applyProtection="1">
      <alignment horizontal="center" vertical="center" wrapText="1"/>
      <protection hidden="1"/>
    </xf>
    <xf numFmtId="0" fontId="2" fillId="24" borderId="27" xfId="0" applyNumberFormat="1" applyFont="1" applyFill="1" applyBorder="1" applyAlignment="1" applyProtection="1">
      <alignment horizontal="right" vertical="center" wrapText="1"/>
      <protection hidden="1"/>
    </xf>
    <xf numFmtId="0" fontId="2" fillId="24" borderId="135" xfId="0" applyNumberFormat="1" applyFont="1" applyFill="1" applyBorder="1" applyAlignment="1" applyProtection="1">
      <alignment horizontal="right" vertical="center" wrapText="1"/>
      <protection hidden="1"/>
    </xf>
    <xf numFmtId="49" fontId="6" fillId="24" borderId="116" xfId="0" applyNumberFormat="1" applyFont="1" applyFill="1" applyBorder="1" applyAlignment="1" applyProtection="1">
      <alignment horizontal="center" vertical="center" wrapText="1"/>
      <protection hidden="1"/>
    </xf>
    <xf numFmtId="49" fontId="6" fillId="24" borderId="118" xfId="0" applyNumberFormat="1" applyFont="1" applyFill="1" applyBorder="1" applyAlignment="1" applyProtection="1">
      <alignment horizontal="center" vertical="center" wrapText="1"/>
      <protection hidden="1"/>
    </xf>
    <xf numFmtId="0" fontId="6" fillId="3" borderId="122" xfId="0" applyFont="1" applyFill="1" applyBorder="1" applyAlignment="1" applyProtection="1">
      <alignment horizontal="center" vertical="center" wrapText="1"/>
      <protection hidden="1"/>
    </xf>
    <xf numFmtId="0" fontId="48" fillId="24" borderId="34" xfId="0" applyFont="1" applyFill="1" applyBorder="1" applyAlignment="1" applyProtection="1">
      <alignment horizontal="center" vertical="center"/>
      <protection hidden="1"/>
    </xf>
    <xf numFmtId="0" fontId="48" fillId="24" borderId="78" xfId="0" applyFont="1" applyFill="1" applyBorder="1" applyAlignment="1" applyProtection="1">
      <alignment horizontal="center" vertical="center"/>
      <protection hidden="1"/>
    </xf>
    <xf numFmtId="49" fontId="2" fillId="24" borderId="132" xfId="0" applyNumberFormat="1" applyFont="1" applyFill="1" applyBorder="1" applyAlignment="1" applyProtection="1">
      <alignment horizontal="center" vertical="center" wrapText="1"/>
      <protection hidden="1"/>
    </xf>
    <xf numFmtId="49" fontId="2" fillId="24" borderId="144" xfId="0" applyNumberFormat="1" applyFont="1" applyFill="1" applyBorder="1" applyAlignment="1" applyProtection="1">
      <alignment horizontal="center" vertical="center" wrapText="1"/>
      <protection hidden="1"/>
    </xf>
    <xf numFmtId="49" fontId="6" fillId="24" borderId="133" xfId="0" applyNumberFormat="1" applyFont="1" applyFill="1" applyBorder="1" applyAlignment="1" applyProtection="1">
      <alignment horizontal="center" vertical="center" wrapText="1"/>
      <protection hidden="1"/>
    </xf>
    <xf numFmtId="49" fontId="6" fillId="24" borderId="134" xfId="0" applyNumberFormat="1" applyFont="1" applyFill="1" applyBorder="1" applyAlignment="1" applyProtection="1">
      <alignment horizontal="center" vertical="center" wrapText="1"/>
      <protection hidden="1"/>
    </xf>
    <xf numFmtId="0" fontId="4" fillId="3" borderId="119" xfId="0" applyFont="1" applyFill="1" applyBorder="1" applyAlignment="1" applyProtection="1">
      <alignment horizontal="center" vertical="center" wrapText="1"/>
      <protection hidden="1"/>
    </xf>
    <xf numFmtId="0" fontId="4" fillId="3" borderId="114" xfId="0" applyFont="1" applyFill="1" applyBorder="1" applyAlignment="1" applyProtection="1">
      <alignment horizontal="center" vertical="center" wrapText="1"/>
      <protection hidden="1"/>
    </xf>
    <xf numFmtId="1" fontId="1" fillId="24" borderId="114" xfId="0" applyNumberFormat="1" applyFont="1" applyFill="1" applyBorder="1" applyAlignment="1" applyProtection="1">
      <alignment horizontal="center" vertical="center" wrapText="1"/>
      <protection hidden="1"/>
    </xf>
    <xf numFmtId="0" fontId="3" fillId="24" borderId="114" xfId="0" applyNumberFormat="1" applyFont="1" applyFill="1" applyBorder="1" applyAlignment="1" applyProtection="1">
      <alignment horizontal="center" vertical="center" wrapText="1"/>
      <protection hidden="1"/>
    </xf>
    <xf numFmtId="49" fontId="1" fillId="24" borderId="114" xfId="0" applyNumberFormat="1" applyFont="1" applyFill="1" applyBorder="1" applyAlignment="1" applyProtection="1">
      <alignment horizontal="center" vertical="center" wrapText="1"/>
      <protection hidden="1"/>
    </xf>
    <xf numFmtId="0" fontId="1" fillId="24" borderId="114" xfId="0" applyNumberFormat="1" applyFont="1" applyFill="1" applyBorder="1" applyAlignment="1" applyProtection="1">
      <alignment horizontal="center" vertical="center" wrapText="1"/>
      <protection hidden="1"/>
    </xf>
    <xf numFmtId="0" fontId="25" fillId="4" borderId="112" xfId="0" applyFont="1" applyFill="1" applyBorder="1" applyAlignment="1" applyProtection="1">
      <alignment horizontal="center" vertical="center" wrapText="1"/>
      <protection hidden="1"/>
    </xf>
    <xf numFmtId="0" fontId="25" fillId="4" borderId="111" xfId="0" applyFont="1" applyFill="1" applyBorder="1" applyAlignment="1" applyProtection="1">
      <alignment horizontal="center" vertical="center" wrapText="1"/>
      <protection hidden="1"/>
    </xf>
    <xf numFmtId="0" fontId="25" fillId="4" borderId="113" xfId="0" applyFont="1" applyFill="1" applyBorder="1" applyAlignment="1" applyProtection="1">
      <alignment horizontal="center" vertical="center" wrapText="1"/>
      <protection hidden="1"/>
    </xf>
    <xf numFmtId="1" fontId="48" fillId="24" borderId="114" xfId="0" applyNumberFormat="1" applyFont="1" applyFill="1" applyBorder="1" applyAlignment="1" applyProtection="1">
      <alignment horizontal="center" vertical="center" wrapText="1"/>
      <protection hidden="1"/>
    </xf>
    <xf numFmtId="0" fontId="48" fillId="24" borderId="114" xfId="0" applyNumberFormat="1" applyFont="1" applyFill="1" applyBorder="1" applyAlignment="1" applyProtection="1">
      <alignment horizontal="center" vertical="center" wrapText="1"/>
      <protection hidden="1"/>
    </xf>
    <xf numFmtId="0" fontId="17" fillId="3" borderId="114" xfId="0" applyFont="1" applyFill="1" applyBorder="1" applyAlignment="1" applyProtection="1">
      <alignment horizontal="center" vertical="center" wrapText="1"/>
      <protection hidden="1"/>
    </xf>
    <xf numFmtId="0" fontId="5" fillId="24" borderId="129" xfId="0" applyFont="1" applyFill="1" applyBorder="1" applyAlignment="1" applyProtection="1">
      <alignment horizontal="center"/>
      <protection hidden="1"/>
    </xf>
    <xf numFmtId="0" fontId="21" fillId="24" borderId="150" xfId="0" applyFont="1" applyFill="1" applyBorder="1" applyAlignment="1" applyProtection="1">
      <alignment horizontal="center" vertical="center"/>
      <protection hidden="1"/>
    </xf>
    <xf numFmtId="0" fontId="21" fillId="24" borderId="151" xfId="0" applyFont="1" applyFill="1" applyBorder="1" applyAlignment="1" applyProtection="1">
      <alignment horizontal="center" vertical="center"/>
      <protection hidden="1"/>
    </xf>
    <xf numFmtId="0" fontId="22" fillId="24" borderId="116" xfId="0" applyFont="1" applyFill="1" applyBorder="1" applyAlignment="1" applyProtection="1">
      <alignment horizontal="center" vertical="center" textRotation="40" wrapText="1"/>
      <protection hidden="1"/>
    </xf>
    <xf numFmtId="0" fontId="22" fillId="24" borderId="117" xfId="0" applyFont="1" applyFill="1" applyBorder="1" applyAlignment="1" applyProtection="1">
      <alignment horizontal="center" vertical="center" textRotation="40" wrapText="1"/>
      <protection hidden="1"/>
    </xf>
    <xf numFmtId="0" fontId="22" fillId="24" borderId="119" xfId="0" applyFont="1" applyFill="1" applyBorder="1" applyAlignment="1" applyProtection="1">
      <alignment horizontal="center" vertical="center" textRotation="40" wrapText="1"/>
      <protection hidden="1"/>
    </xf>
    <xf numFmtId="0" fontId="22" fillId="24" borderId="114" xfId="0" applyFont="1" applyFill="1" applyBorder="1" applyAlignment="1" applyProtection="1">
      <alignment horizontal="center" vertical="center" textRotation="40" wrapText="1"/>
      <protection hidden="1"/>
    </xf>
    <xf numFmtId="0" fontId="22" fillId="24" borderId="126" xfId="0" applyFont="1" applyFill="1" applyBorder="1" applyAlignment="1" applyProtection="1">
      <alignment horizontal="center" vertical="center" textRotation="40" wrapText="1"/>
      <protection hidden="1"/>
    </xf>
    <xf numFmtId="0" fontId="22" fillId="24" borderId="127" xfId="0" applyFont="1" applyFill="1" applyBorder="1" applyAlignment="1" applyProtection="1">
      <alignment horizontal="center" vertical="center" textRotation="40" wrapText="1"/>
      <protection hidden="1"/>
    </xf>
    <xf numFmtId="49" fontId="6" fillId="3" borderId="121" xfId="0" applyNumberFormat="1" applyFont="1" applyFill="1" applyBorder="1" applyAlignment="1" applyProtection="1">
      <alignment horizontal="center" vertical="center" wrapText="1"/>
      <protection hidden="1"/>
    </xf>
    <xf numFmtId="49" fontId="6" fillId="3" borderId="122" xfId="0" applyNumberFormat="1" applyFont="1" applyFill="1" applyBorder="1" applyAlignment="1" applyProtection="1">
      <alignment horizontal="center" vertical="center" wrapText="1"/>
      <protection hidden="1"/>
    </xf>
    <xf numFmtId="1" fontId="48" fillId="24" borderId="122" xfId="0" applyNumberFormat="1" applyFont="1" applyFill="1" applyBorder="1" applyAlignment="1" applyProtection="1">
      <alignment horizontal="center" vertical="center" wrapText="1"/>
      <protection hidden="1"/>
    </xf>
    <xf numFmtId="0" fontId="48" fillId="24" borderId="122" xfId="0" applyNumberFormat="1" applyFont="1" applyFill="1" applyBorder="1" applyAlignment="1" applyProtection="1">
      <alignment horizontal="center" vertical="center" wrapText="1"/>
      <protection hidden="1"/>
    </xf>
    <xf numFmtId="0" fontId="130" fillId="24" borderId="117" xfId="0" applyFont="1" applyFill="1" applyBorder="1" applyAlignment="1" applyProtection="1">
      <alignment horizontal="center" vertical="center" wrapText="1"/>
      <protection hidden="1"/>
    </xf>
    <xf numFmtId="0" fontId="3" fillId="24" borderId="117" xfId="0" applyFont="1" applyFill="1" applyBorder="1" applyAlignment="1" applyProtection="1">
      <alignment horizontal="center" vertical="center" wrapText="1"/>
      <protection hidden="1"/>
    </xf>
    <xf numFmtId="0" fontId="3" fillId="24" borderId="114" xfId="0" applyFont="1" applyFill="1" applyBorder="1" applyAlignment="1" applyProtection="1">
      <alignment horizontal="center" vertical="center" wrapText="1"/>
      <protection hidden="1"/>
    </xf>
    <xf numFmtId="0" fontId="3" fillId="24" borderId="127" xfId="0" applyFont="1" applyFill="1" applyBorder="1" applyAlignment="1" applyProtection="1">
      <alignment horizontal="center" vertical="center" wrapText="1"/>
      <protection hidden="1"/>
    </xf>
    <xf numFmtId="49" fontId="4" fillId="24" borderId="33" xfId="0" applyNumberFormat="1" applyFont="1" applyFill="1" applyBorder="1" applyAlignment="1" applyProtection="1">
      <alignment horizontal="right" vertical="center" wrapText="1"/>
      <protection hidden="1"/>
    </xf>
    <xf numFmtId="49" fontId="4" fillId="24" borderId="30" xfId="0" applyNumberFormat="1" applyFont="1" applyFill="1" applyBorder="1" applyAlignment="1" applyProtection="1">
      <alignment horizontal="right" vertical="center" wrapText="1"/>
      <protection hidden="1"/>
    </xf>
    <xf numFmtId="0" fontId="21" fillId="24" borderId="155" xfId="0" applyFont="1" applyFill="1" applyBorder="1" applyAlignment="1" applyProtection="1">
      <alignment horizontal="center" vertical="center"/>
      <protection hidden="1"/>
    </xf>
    <xf numFmtId="0" fontId="21" fillId="24" borderId="156" xfId="0" applyFont="1" applyFill="1" applyBorder="1" applyAlignment="1" applyProtection="1">
      <alignment horizontal="center" vertical="center"/>
      <protection hidden="1"/>
    </xf>
    <xf numFmtId="164" fontId="2" fillId="24" borderId="114" xfId="0" applyNumberFormat="1" applyFont="1" applyFill="1" applyBorder="1" applyAlignment="1" applyProtection="1">
      <alignment horizontal="center" vertical="center" wrapText="1"/>
      <protection hidden="1"/>
    </xf>
    <xf numFmtId="0" fontId="6" fillId="3" borderId="119" xfId="0" applyFont="1" applyFill="1" applyBorder="1" applyAlignment="1" applyProtection="1">
      <alignment horizontal="center" vertical="center" wrapText="1"/>
      <protection hidden="1"/>
    </xf>
    <xf numFmtId="0" fontId="6" fillId="3" borderId="114" xfId="0" applyFont="1" applyFill="1" applyBorder="1" applyAlignment="1" applyProtection="1">
      <alignment horizontal="center" vertical="center" wrapText="1"/>
      <protection hidden="1"/>
    </xf>
    <xf numFmtId="0" fontId="3" fillId="7" borderId="62" xfId="0" applyFont="1" applyFill="1" applyBorder="1" applyAlignment="1" applyProtection="1">
      <alignment horizontal="center"/>
      <protection hidden="1"/>
    </xf>
    <xf numFmtId="0" fontId="2" fillId="3" borderId="160" xfId="0" applyNumberFormat="1" applyFont="1" applyFill="1" applyBorder="1" applyAlignment="1" applyProtection="1">
      <alignment horizontal="center" vertical="center" wrapText="1"/>
      <protection hidden="1"/>
    </xf>
    <xf numFmtId="0" fontId="2" fillId="3" borderId="161" xfId="0" applyNumberFormat="1" applyFont="1" applyFill="1" applyBorder="1" applyAlignment="1" applyProtection="1">
      <alignment horizontal="center" vertical="center" wrapText="1"/>
      <protection hidden="1"/>
    </xf>
    <xf numFmtId="0" fontId="2" fillId="3" borderId="163" xfId="0" applyNumberFormat="1" applyFont="1" applyFill="1" applyBorder="1" applyAlignment="1" applyProtection="1">
      <alignment horizontal="center" vertical="center" wrapText="1"/>
      <protection hidden="1"/>
    </xf>
    <xf numFmtId="0" fontId="106" fillId="24" borderId="116" xfId="0" applyFont="1" applyFill="1" applyBorder="1" applyAlignment="1" applyProtection="1">
      <alignment horizontal="left" vertical="center" wrapText="1"/>
      <protection hidden="1"/>
    </xf>
    <xf numFmtId="0" fontId="106" fillId="24" borderId="117" xfId="0" applyFont="1" applyFill="1" applyBorder="1" applyAlignment="1" applyProtection="1">
      <alignment horizontal="left" vertical="center" wrapText="1"/>
      <protection hidden="1"/>
    </xf>
    <xf numFmtId="0" fontId="2" fillId="24" borderId="119" xfId="0" applyFont="1" applyFill="1" applyBorder="1" applyAlignment="1" applyProtection="1">
      <alignment horizontal="right" vertical="center" wrapText="1"/>
      <protection hidden="1"/>
    </xf>
    <xf numFmtId="0" fontId="2" fillId="24" borderId="114" xfId="0" applyFont="1" applyFill="1" applyBorder="1" applyAlignment="1" applyProtection="1">
      <alignment horizontal="right" vertical="center" wrapText="1"/>
      <protection hidden="1"/>
    </xf>
    <xf numFmtId="0" fontId="1" fillId="24" borderId="114" xfId="0" applyFont="1" applyFill="1" applyBorder="1" applyAlignment="1" applyProtection="1">
      <alignment horizontal="center" vertical="center" wrapText="1"/>
      <protection hidden="1"/>
    </xf>
    <xf numFmtId="0" fontId="113" fillId="3" borderId="116" xfId="0" applyFont="1" applyFill="1" applyBorder="1" applyAlignment="1" applyProtection="1">
      <alignment horizontal="center" vertical="center"/>
      <protection hidden="1"/>
    </xf>
    <xf numFmtId="0" fontId="113" fillId="3" borderId="117" xfId="0" applyFont="1" applyFill="1" applyBorder="1" applyAlignment="1" applyProtection="1">
      <alignment horizontal="center" vertical="center"/>
      <protection hidden="1"/>
    </xf>
    <xf numFmtId="0" fontId="113" fillId="3" borderId="118" xfId="0" applyFont="1" applyFill="1" applyBorder="1" applyAlignment="1" applyProtection="1">
      <alignment horizontal="center" vertical="center"/>
      <protection hidden="1"/>
    </xf>
    <xf numFmtId="1" fontId="60" fillId="3" borderId="121" xfId="0" applyNumberFormat="1" applyFont="1" applyFill="1" applyBorder="1" applyAlignment="1" applyProtection="1">
      <alignment horizontal="center" vertical="center"/>
      <protection hidden="1"/>
    </xf>
    <xf numFmtId="1" fontId="60" fillId="3" borderId="122" xfId="0" applyNumberFormat="1" applyFont="1" applyFill="1" applyBorder="1" applyAlignment="1" applyProtection="1">
      <alignment horizontal="center" vertical="center"/>
      <protection hidden="1"/>
    </xf>
    <xf numFmtId="1" fontId="60" fillId="3" borderId="123" xfId="0" applyNumberFormat="1" applyFont="1" applyFill="1" applyBorder="1" applyAlignment="1" applyProtection="1">
      <alignment horizontal="center" vertical="center"/>
      <protection hidden="1"/>
    </xf>
    <xf numFmtId="164" fontId="106" fillId="24" borderId="117" xfId="0" applyNumberFormat="1" applyFont="1" applyFill="1" applyBorder="1" applyAlignment="1" applyProtection="1">
      <alignment horizontal="right" vertical="center" wrapText="1"/>
      <protection hidden="1"/>
    </xf>
    <xf numFmtId="164" fontId="106" fillId="24" borderId="118" xfId="0" applyNumberFormat="1" applyFont="1" applyFill="1" applyBorder="1" applyAlignment="1" applyProtection="1">
      <alignment horizontal="right" vertical="center" wrapText="1"/>
      <protection hidden="1"/>
    </xf>
    <xf numFmtId="0" fontId="129" fillId="0" borderId="33" xfId="0" applyFont="1" applyBorder="1" applyAlignment="1" applyProtection="1">
      <alignment horizontal="center"/>
      <protection hidden="1"/>
    </xf>
    <xf numFmtId="0" fontId="129" fillId="0" borderId="30" xfId="0" applyFont="1" applyBorder="1" applyAlignment="1" applyProtection="1">
      <alignment horizontal="center"/>
      <protection hidden="1"/>
    </xf>
    <xf numFmtId="0" fontId="129" fillId="0" borderId="28" xfId="0" applyFont="1" applyBorder="1" applyAlignment="1" applyProtection="1">
      <alignment horizontal="center"/>
      <protection hidden="1"/>
    </xf>
    <xf numFmtId="0" fontId="129" fillId="0" borderId="34" xfId="0" applyFont="1" applyBorder="1" applyAlignment="1" applyProtection="1">
      <alignment horizontal="center"/>
      <protection hidden="1"/>
    </xf>
    <xf numFmtId="0" fontId="59" fillId="3" borderId="27" xfId="0" applyFont="1" applyFill="1" applyBorder="1" applyAlignment="1" applyProtection="1">
      <alignment horizontal="center" vertical="center"/>
      <protection hidden="1"/>
    </xf>
    <xf numFmtId="0" fontId="59" fillId="3" borderId="28" xfId="0" applyFont="1" applyFill="1" applyBorder="1" applyAlignment="1" applyProtection="1">
      <alignment horizontal="center" vertical="center"/>
      <protection hidden="1"/>
    </xf>
    <xf numFmtId="0" fontId="59" fillId="3" borderId="29" xfId="0" applyFont="1" applyFill="1" applyBorder="1" applyAlignment="1" applyProtection="1">
      <alignment horizontal="center" vertical="center"/>
      <protection hidden="1"/>
    </xf>
    <xf numFmtId="173" fontId="59" fillId="0" borderId="27" xfId="0" applyNumberFormat="1" applyFont="1" applyBorder="1" applyAlignment="1" applyProtection="1">
      <alignment horizontal="center" vertical="center"/>
      <protection hidden="1"/>
    </xf>
    <xf numFmtId="173" fontId="59" fillId="0" borderId="28" xfId="0" applyNumberFormat="1" applyFont="1" applyBorder="1" applyAlignment="1" applyProtection="1">
      <alignment horizontal="center" vertical="center"/>
      <protection hidden="1"/>
    </xf>
    <xf numFmtId="173" fontId="59" fillId="3" borderId="27" xfId="0" applyNumberFormat="1" applyFont="1" applyFill="1" applyBorder="1" applyAlignment="1" applyProtection="1">
      <alignment horizontal="center" vertical="center"/>
      <protection hidden="1"/>
    </xf>
    <xf numFmtId="173" fontId="59" fillId="3" borderId="28" xfId="0" applyNumberFormat="1" applyFont="1" applyFill="1" applyBorder="1" applyAlignment="1" applyProtection="1">
      <alignment horizontal="center" vertical="center"/>
      <protection hidden="1"/>
    </xf>
    <xf numFmtId="173" fontId="59" fillId="3" borderId="29" xfId="0" applyNumberFormat="1" applyFont="1" applyFill="1" applyBorder="1" applyAlignment="1" applyProtection="1">
      <alignment horizontal="center" vertical="center"/>
      <protection hidden="1"/>
    </xf>
    <xf numFmtId="0" fontId="11" fillId="0" borderId="48" xfId="0" applyFont="1" applyFill="1" applyBorder="1" applyAlignment="1" applyProtection="1">
      <alignment horizontal="center" vertical="center" wrapText="1"/>
      <protection hidden="1"/>
    </xf>
    <xf numFmtId="0" fontId="11" fillId="0" borderId="13" xfId="0" applyFont="1" applyFill="1" applyBorder="1" applyAlignment="1" applyProtection="1">
      <alignment horizontal="center" vertical="center" wrapText="1"/>
      <protection hidden="1"/>
    </xf>
    <xf numFmtId="0" fontId="11" fillId="0" borderId="63" xfId="0" applyFont="1" applyFill="1" applyBorder="1" applyAlignment="1" applyProtection="1">
      <alignment horizontal="center" vertical="center" wrapText="1"/>
      <protection hidden="1"/>
    </xf>
    <xf numFmtId="0" fontId="11" fillId="0" borderId="15" xfId="0" applyFont="1" applyFill="1" applyBorder="1" applyAlignment="1" applyProtection="1">
      <alignment horizontal="center" vertical="center" wrapText="1"/>
      <protection hidden="1"/>
    </xf>
    <xf numFmtId="0" fontId="2" fillId="0" borderId="49" xfId="0" applyFont="1" applyFill="1" applyBorder="1" applyAlignment="1" applyProtection="1">
      <alignment horizontal="center" vertical="center" wrapText="1"/>
      <protection hidden="1"/>
    </xf>
    <xf numFmtId="0" fontId="2" fillId="0" borderId="14" xfId="0" applyFont="1" applyFill="1" applyBorder="1" applyAlignment="1" applyProtection="1">
      <alignment horizontal="center" vertical="center" wrapText="1"/>
      <protection hidden="1"/>
    </xf>
    <xf numFmtId="0" fontId="2" fillId="0" borderId="64" xfId="0" applyFont="1" applyFill="1" applyBorder="1" applyAlignment="1" applyProtection="1">
      <alignment horizontal="center" vertical="center" wrapText="1"/>
      <protection hidden="1"/>
    </xf>
    <xf numFmtId="0" fontId="2" fillId="0" borderId="17" xfId="0" applyFont="1" applyFill="1" applyBorder="1" applyAlignment="1" applyProtection="1">
      <alignment horizontal="center" vertical="center" wrapText="1"/>
      <protection hidden="1"/>
    </xf>
    <xf numFmtId="0" fontId="2" fillId="0" borderId="35" xfId="0" applyFont="1" applyFill="1" applyBorder="1" applyAlignment="1" applyProtection="1">
      <alignment horizontal="center" vertical="center" wrapText="1"/>
      <protection hidden="1"/>
    </xf>
    <xf numFmtId="0" fontId="2" fillId="0" borderId="72" xfId="0" applyFont="1" applyFill="1" applyBorder="1" applyAlignment="1" applyProtection="1">
      <alignment horizontal="center" vertical="center" wrapText="1"/>
      <protection hidden="1"/>
    </xf>
    <xf numFmtId="0" fontId="2" fillId="0" borderId="76" xfId="0" applyFont="1" applyFill="1" applyBorder="1" applyAlignment="1" applyProtection="1">
      <alignment horizontal="center" vertical="center" wrapText="1"/>
      <protection hidden="1"/>
    </xf>
    <xf numFmtId="0" fontId="59" fillId="6" borderId="27" xfId="0" applyFont="1" applyFill="1" applyBorder="1" applyAlignment="1" applyProtection="1">
      <alignment horizontal="center" vertical="center"/>
      <protection hidden="1"/>
    </xf>
    <xf numFmtId="0" fontId="0" fillId="0" borderId="28" xfId="0" applyBorder="1"/>
    <xf numFmtId="0" fontId="0" fillId="0" borderId="29" xfId="0" applyBorder="1"/>
    <xf numFmtId="0" fontId="56" fillId="6" borderId="28" xfId="0" applyFont="1" applyFill="1" applyBorder="1" applyAlignment="1" applyProtection="1">
      <alignment horizontal="center" vertical="center"/>
      <protection hidden="1"/>
    </xf>
    <xf numFmtId="0" fontId="74" fillId="0" borderId="28" xfId="0" applyFont="1" applyBorder="1"/>
    <xf numFmtId="0" fontId="74" fillId="0" borderId="29" xfId="0" applyFont="1" applyBorder="1"/>
    <xf numFmtId="0" fontId="4" fillId="0" borderId="61" xfId="0" applyFont="1" applyFill="1" applyBorder="1" applyAlignment="1" applyProtection="1">
      <alignment horizontal="center" vertical="center" wrapText="1"/>
      <protection hidden="1"/>
    </xf>
    <xf numFmtId="0" fontId="4" fillId="0" borderId="75" xfId="0" applyFont="1" applyFill="1" applyBorder="1" applyAlignment="1" applyProtection="1">
      <alignment horizontal="center" vertical="center" wrapText="1"/>
      <protection hidden="1"/>
    </xf>
    <xf numFmtId="0" fontId="4" fillId="0" borderId="78" xfId="0" applyFont="1" applyFill="1" applyBorder="1" applyAlignment="1" applyProtection="1">
      <alignment horizontal="center" vertical="center" wrapText="1"/>
      <protection hidden="1"/>
    </xf>
    <xf numFmtId="0" fontId="11" fillId="0" borderId="10" xfId="0" applyFont="1" applyFill="1" applyBorder="1" applyAlignment="1" applyProtection="1">
      <alignment horizontal="center" vertical="center" wrapText="1"/>
      <protection hidden="1"/>
    </xf>
    <xf numFmtId="0" fontId="11" fillId="0" borderId="11" xfId="0" applyFont="1" applyFill="1" applyBorder="1" applyAlignment="1" applyProtection="1">
      <alignment horizontal="center" vertical="center" wrapText="1"/>
      <protection hidden="1"/>
    </xf>
    <xf numFmtId="0" fontId="4" fillId="0" borderId="10" xfId="0" applyFont="1" applyFill="1" applyBorder="1" applyAlignment="1" applyProtection="1">
      <alignment horizontal="center" vertical="center" wrapText="1"/>
      <protection hidden="1"/>
    </xf>
    <xf numFmtId="0" fontId="4" fillId="0" borderId="11" xfId="0" applyFont="1" applyFill="1" applyBorder="1" applyAlignment="1" applyProtection="1">
      <alignment horizontal="center" vertical="center" wrapText="1"/>
      <protection hidden="1"/>
    </xf>
    <xf numFmtId="0" fontId="4" fillId="0" borderId="79" xfId="0" applyFont="1" applyFill="1" applyBorder="1" applyAlignment="1" applyProtection="1">
      <alignment horizontal="center" vertical="center" wrapText="1"/>
      <protection hidden="1"/>
    </xf>
    <xf numFmtId="0" fontId="19" fillId="0" borderId="31" xfId="0" applyFont="1" applyBorder="1"/>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4" fillId="0" borderId="41" xfId="0" applyFont="1" applyFill="1" applyBorder="1" applyAlignment="1" applyProtection="1">
      <alignment horizontal="center" vertical="center" wrapText="1"/>
      <protection hidden="1"/>
    </xf>
    <xf numFmtId="0" fontId="44" fillId="0" borderId="32" xfId="0" applyFont="1" applyFill="1" applyBorder="1" applyAlignment="1" applyProtection="1">
      <alignment horizontal="center" vertical="center" wrapText="1"/>
      <protection hidden="1"/>
    </xf>
    <xf numFmtId="0" fontId="8" fillId="0" borderId="41" xfId="0" applyFont="1" applyFill="1" applyBorder="1" applyAlignment="1" applyProtection="1">
      <alignment horizontal="center" vertical="center" wrapText="1"/>
      <protection hidden="1"/>
    </xf>
    <xf numFmtId="0" fontId="8" fillId="0" borderId="32" xfId="0" applyFont="1" applyFill="1" applyBorder="1" applyAlignment="1" applyProtection="1">
      <alignment horizontal="center" vertical="center" wrapText="1"/>
      <protection hidden="1"/>
    </xf>
    <xf numFmtId="0" fontId="11" fillId="0" borderId="41" xfId="0" applyFont="1" applyFill="1" applyBorder="1" applyAlignment="1" applyProtection="1">
      <alignment horizontal="center" vertical="center" wrapText="1"/>
      <protection hidden="1"/>
    </xf>
    <xf numFmtId="0" fontId="11" fillId="0" borderId="36" xfId="0" applyFont="1" applyFill="1" applyBorder="1" applyAlignment="1" applyProtection="1">
      <alignment horizontal="center" vertical="center" wrapText="1"/>
      <protection hidden="1"/>
    </xf>
    <xf numFmtId="0" fontId="11" fillId="0" borderId="32" xfId="0" applyFont="1" applyFill="1" applyBorder="1" applyAlignment="1" applyProtection="1">
      <alignment horizontal="center" vertical="center" wrapText="1"/>
      <protection hidden="1"/>
    </xf>
    <xf numFmtId="174" fontId="53" fillId="6" borderId="33" xfId="0" applyNumberFormat="1" applyFont="1" applyFill="1" applyBorder="1" applyAlignment="1" applyProtection="1">
      <alignment horizontal="center" vertical="center" wrapText="1" shrinkToFit="1"/>
      <protection hidden="1"/>
    </xf>
    <xf numFmtId="174" fontId="53" fillId="6" borderId="30" xfId="0" applyNumberFormat="1" applyFont="1" applyFill="1" applyBorder="1" applyAlignment="1" applyProtection="1">
      <alignment horizontal="center" vertical="center" wrapText="1" shrinkToFit="1"/>
      <protection hidden="1"/>
    </xf>
    <xf numFmtId="174" fontId="53" fillId="6" borderId="76" xfId="0" applyNumberFormat="1" applyFont="1" applyFill="1" applyBorder="1" applyAlignment="1" applyProtection="1">
      <alignment horizontal="center" vertical="center" wrapText="1" shrinkToFit="1"/>
      <protection hidden="1"/>
    </xf>
    <xf numFmtId="174" fontId="53" fillId="6" borderId="77" xfId="0" applyNumberFormat="1" applyFont="1" applyFill="1" applyBorder="1" applyAlignment="1" applyProtection="1">
      <alignment horizontal="center" vertical="center" wrapText="1" shrinkToFit="1"/>
      <protection hidden="1"/>
    </xf>
    <xf numFmtId="186" fontId="21" fillId="6" borderId="38" xfId="0" applyNumberFormat="1" applyFont="1" applyFill="1" applyBorder="1" applyAlignment="1" applyProtection="1">
      <alignment horizontal="left" vertical="center" wrapText="1" indent="2"/>
      <protection hidden="1"/>
    </xf>
    <xf numFmtId="186" fontId="21" fillId="6" borderId="31" xfId="0" applyNumberFormat="1" applyFont="1" applyFill="1" applyBorder="1" applyAlignment="1" applyProtection="1">
      <alignment horizontal="left" vertical="center" wrapText="1" indent="2"/>
      <protection hidden="1"/>
    </xf>
    <xf numFmtId="174" fontId="53" fillId="6" borderId="83" xfId="0" applyNumberFormat="1" applyFont="1" applyFill="1" applyBorder="1" applyAlignment="1" applyProtection="1">
      <alignment horizontal="center" vertical="center" wrapText="1" shrinkToFit="1"/>
      <protection hidden="1"/>
    </xf>
    <xf numFmtId="174" fontId="53" fillId="6" borderId="82" xfId="0" applyNumberFormat="1" applyFont="1" applyFill="1" applyBorder="1" applyAlignment="1" applyProtection="1">
      <alignment horizontal="center" vertical="center" wrapText="1" shrinkToFit="1"/>
      <protection hidden="1"/>
    </xf>
    <xf numFmtId="174" fontId="53" fillId="6" borderId="21" xfId="0" applyNumberFormat="1" applyFont="1" applyFill="1" applyBorder="1" applyAlignment="1" applyProtection="1">
      <alignment horizontal="center" vertical="center" shrinkToFit="1"/>
      <protection hidden="1"/>
    </xf>
    <xf numFmtId="174" fontId="53" fillId="6" borderId="38" xfId="0" applyNumberFormat="1" applyFont="1" applyFill="1" applyBorder="1" applyAlignment="1" applyProtection="1">
      <alignment horizontal="center" vertical="center" shrinkToFit="1"/>
      <protection hidden="1"/>
    </xf>
    <xf numFmtId="165" fontId="88" fillId="22" borderId="33" xfId="0" applyNumberFormat="1" applyFont="1" applyFill="1" applyBorder="1" applyAlignment="1" applyProtection="1">
      <alignment horizontal="left" vertical="center" wrapText="1" indent="4"/>
      <protection hidden="1"/>
    </xf>
    <xf numFmtId="165" fontId="88" fillId="22" borderId="30" xfId="0" applyNumberFormat="1" applyFont="1" applyFill="1" applyBorder="1" applyAlignment="1" applyProtection="1">
      <alignment horizontal="left" vertical="center" wrapText="1" indent="4"/>
      <protection hidden="1"/>
    </xf>
    <xf numFmtId="165" fontId="88" fillId="22" borderId="83" xfId="0" applyNumberFormat="1" applyFont="1" applyFill="1" applyBorder="1" applyAlignment="1" applyProtection="1">
      <alignment horizontal="left" vertical="center" wrapText="1" indent="4"/>
      <protection hidden="1"/>
    </xf>
    <xf numFmtId="165" fontId="88" fillId="22" borderId="76" xfId="0" applyNumberFormat="1" applyFont="1" applyFill="1" applyBorder="1" applyAlignment="1" applyProtection="1">
      <alignment horizontal="left" vertical="center" wrapText="1" indent="4"/>
      <protection hidden="1"/>
    </xf>
    <xf numFmtId="165" fontId="88" fillId="22" borderId="77" xfId="0" applyNumberFormat="1" applyFont="1" applyFill="1" applyBorder="1" applyAlignment="1" applyProtection="1">
      <alignment horizontal="left" vertical="center" wrapText="1" indent="4"/>
      <protection hidden="1"/>
    </xf>
    <xf numFmtId="165" fontId="88" fillId="22" borderId="82" xfId="0" applyNumberFormat="1" applyFont="1" applyFill="1" applyBorder="1" applyAlignment="1" applyProtection="1">
      <alignment horizontal="left" vertical="center" wrapText="1" indent="4"/>
      <protection hidden="1"/>
    </xf>
    <xf numFmtId="165" fontId="56" fillId="22" borderId="21" xfId="0" applyNumberFormat="1" applyFont="1" applyFill="1" applyBorder="1" applyAlignment="1" applyProtection="1">
      <alignment horizontal="center" vertical="center" wrapText="1"/>
      <protection hidden="1"/>
    </xf>
    <xf numFmtId="165" fontId="56" fillId="22" borderId="38" xfId="0" applyNumberFormat="1" applyFont="1" applyFill="1" applyBorder="1" applyAlignment="1" applyProtection="1">
      <alignment horizontal="center" vertical="center" wrapText="1"/>
      <protection hidden="1"/>
    </xf>
    <xf numFmtId="186" fontId="56" fillId="22" borderId="38" xfId="0" applyNumberFormat="1" applyFont="1" applyFill="1" applyBorder="1" applyAlignment="1" applyProtection="1">
      <alignment horizontal="left" vertical="center" wrapText="1"/>
      <protection hidden="1"/>
    </xf>
    <xf numFmtId="186" fontId="56" fillId="22" borderId="31" xfId="0" applyNumberFormat="1" applyFont="1" applyFill="1" applyBorder="1" applyAlignment="1" applyProtection="1">
      <alignment horizontal="left" vertical="center" wrapText="1"/>
      <protection hidden="1"/>
    </xf>
    <xf numFmtId="186" fontId="21" fillId="6" borderId="77" xfId="0" applyNumberFormat="1" applyFont="1" applyFill="1" applyBorder="1" applyAlignment="1" applyProtection="1">
      <alignment horizontal="left" vertical="center" wrapText="1" indent="2"/>
      <protection hidden="1"/>
    </xf>
    <xf numFmtId="186" fontId="21" fillId="6" borderId="78" xfId="0" applyNumberFormat="1" applyFont="1" applyFill="1" applyBorder="1" applyAlignment="1" applyProtection="1">
      <alignment horizontal="left" vertical="center" wrapText="1" indent="2"/>
      <protection hidden="1"/>
    </xf>
    <xf numFmtId="174" fontId="53" fillId="6" borderId="23" xfId="0" applyNumberFormat="1" applyFont="1" applyFill="1" applyBorder="1" applyAlignment="1" applyProtection="1">
      <alignment horizontal="center" vertical="center" shrinkToFit="1"/>
      <protection hidden="1"/>
    </xf>
    <xf numFmtId="174" fontId="53" fillId="6" borderId="37" xfId="0" applyNumberFormat="1" applyFont="1" applyFill="1" applyBorder="1" applyAlignment="1" applyProtection="1">
      <alignment horizontal="center" vertical="center" shrinkToFit="1"/>
      <protection hidden="1"/>
    </xf>
    <xf numFmtId="165" fontId="56" fillId="22" borderId="77" xfId="0" applyNumberFormat="1" applyFont="1" applyFill="1" applyBorder="1" applyAlignment="1" applyProtection="1">
      <alignment horizontal="center" vertical="center" wrapText="1"/>
      <protection hidden="1"/>
    </xf>
    <xf numFmtId="186" fontId="56" fillId="22" borderId="37" xfId="0" applyNumberFormat="1" applyFont="1" applyFill="1" applyBorder="1" applyAlignment="1" applyProtection="1">
      <alignment horizontal="left" vertical="center" wrapText="1"/>
      <protection hidden="1"/>
    </xf>
    <xf numFmtId="186" fontId="56" fillId="22" borderId="84" xfId="0" applyNumberFormat="1" applyFont="1" applyFill="1" applyBorder="1" applyAlignment="1" applyProtection="1">
      <alignment horizontal="left" vertical="center" wrapText="1"/>
      <protection hidden="1"/>
    </xf>
    <xf numFmtId="0" fontId="3" fillId="19" borderId="0" xfId="0" applyFont="1" applyFill="1" applyAlignment="1" applyProtection="1">
      <alignment horizontal="center"/>
      <protection hidden="1"/>
    </xf>
    <xf numFmtId="173" fontId="59" fillId="0" borderId="29" xfId="0" applyNumberFormat="1" applyFont="1" applyBorder="1" applyAlignment="1" applyProtection="1">
      <alignment horizontal="center" vertical="center"/>
      <protection hidden="1"/>
    </xf>
    <xf numFmtId="0" fontId="111" fillId="0" borderId="22" xfId="0" applyFont="1" applyFill="1" applyBorder="1" applyAlignment="1" applyProtection="1">
      <alignment horizontal="center" vertical="center" wrapText="1"/>
      <protection hidden="1"/>
    </xf>
    <xf numFmtId="0" fontId="111" fillId="0" borderId="36" xfId="0" applyFont="1" applyFill="1" applyBorder="1" applyAlignment="1" applyProtection="1">
      <alignment horizontal="center" vertical="center" wrapText="1"/>
      <protection hidden="1"/>
    </xf>
    <xf numFmtId="0" fontId="111" fillId="0" borderId="19" xfId="0" applyFont="1" applyFill="1" applyBorder="1" applyAlignment="1" applyProtection="1">
      <alignment horizontal="center" vertical="center" wrapText="1"/>
      <protection hidden="1"/>
    </xf>
    <xf numFmtId="0" fontId="104" fillId="0" borderId="24" xfId="0" applyFont="1" applyFill="1" applyBorder="1" applyAlignment="1" applyProtection="1">
      <alignment horizontal="center" vertical="center" wrapText="1"/>
      <protection hidden="1"/>
    </xf>
    <xf numFmtId="0" fontId="104" fillId="0" borderId="43" xfId="0" applyFont="1" applyFill="1" applyBorder="1" applyAlignment="1" applyProtection="1">
      <alignment horizontal="center" vertical="center" wrapText="1"/>
      <protection hidden="1"/>
    </xf>
    <xf numFmtId="0" fontId="100" fillId="0" borderId="24" xfId="0" applyFont="1" applyFill="1" applyBorder="1" applyAlignment="1" applyProtection="1">
      <alignment horizontal="center" vertical="center" wrapText="1"/>
      <protection hidden="1"/>
    </xf>
    <xf numFmtId="0" fontId="100" fillId="0" borderId="43" xfId="0" applyFont="1" applyFill="1" applyBorder="1" applyAlignment="1" applyProtection="1">
      <alignment horizontal="center" vertical="center" wrapText="1"/>
      <protection hidden="1"/>
    </xf>
    <xf numFmtId="0" fontId="107" fillId="0" borderId="24" xfId="0" applyFont="1" applyFill="1" applyBorder="1" applyAlignment="1" applyProtection="1">
      <alignment horizontal="center" vertical="center" wrapText="1"/>
      <protection hidden="1"/>
    </xf>
    <xf numFmtId="0" fontId="107" fillId="0" borderId="43" xfId="0" applyFont="1" applyFill="1" applyBorder="1" applyAlignment="1" applyProtection="1">
      <alignment horizontal="center" vertical="center" wrapText="1"/>
      <protection hidden="1"/>
    </xf>
    <xf numFmtId="173" fontId="103" fillId="24" borderId="27" xfId="0" applyNumberFormat="1" applyFont="1" applyFill="1" applyBorder="1" applyAlignment="1" applyProtection="1">
      <alignment horizontal="center" vertical="center" wrapText="1"/>
      <protection hidden="1"/>
    </xf>
    <xf numFmtId="173" fontId="103" fillId="24" borderId="28" xfId="0" applyNumberFormat="1" applyFont="1" applyFill="1" applyBorder="1" applyAlignment="1" applyProtection="1">
      <alignment horizontal="center" vertical="center" wrapText="1"/>
      <protection hidden="1"/>
    </xf>
    <xf numFmtId="173" fontId="103" fillId="24" borderId="29" xfId="0" applyNumberFormat="1" applyFont="1" applyFill="1" applyBorder="1" applyAlignment="1" applyProtection="1">
      <alignment horizontal="center" vertical="center" wrapText="1"/>
      <protection hidden="1"/>
    </xf>
    <xf numFmtId="0" fontId="140" fillId="24" borderId="31" xfId="0" applyFont="1" applyFill="1" applyBorder="1" applyAlignment="1" applyProtection="1">
      <alignment horizontal="center" vertical="center" textRotation="90"/>
      <protection hidden="1"/>
    </xf>
    <xf numFmtId="0" fontId="140" fillId="24" borderId="32" xfId="0" applyFont="1" applyFill="1" applyBorder="1" applyAlignment="1" applyProtection="1">
      <alignment horizontal="center" vertical="center" textRotation="90"/>
      <protection hidden="1"/>
    </xf>
    <xf numFmtId="0" fontId="140" fillId="24" borderId="12" xfId="0" applyFont="1" applyFill="1" applyBorder="1" applyAlignment="1" applyProtection="1">
      <alignment horizontal="center" vertical="center" textRotation="90"/>
      <protection hidden="1"/>
    </xf>
    <xf numFmtId="0" fontId="140" fillId="24" borderId="14" xfId="0" applyFont="1" applyFill="1" applyBorder="1" applyAlignment="1" applyProtection="1">
      <alignment horizontal="center" vertical="center" textRotation="90"/>
      <protection hidden="1"/>
    </xf>
    <xf numFmtId="0" fontId="66" fillId="0" borderId="9" xfId="0" applyFont="1" applyFill="1" applyBorder="1" applyAlignment="1" applyProtection="1">
      <alignment horizontal="center" vertical="center" wrapText="1"/>
      <protection hidden="1"/>
    </xf>
    <xf numFmtId="0" fontId="66" fillId="0" borderId="24" xfId="0" applyFont="1" applyFill="1" applyBorder="1" applyAlignment="1" applyProtection="1">
      <alignment horizontal="center" vertical="center" wrapText="1"/>
      <protection hidden="1"/>
    </xf>
    <xf numFmtId="0" fontId="99" fillId="0" borderId="45" xfId="0" applyFont="1" applyFill="1" applyBorder="1" applyAlignment="1" applyProtection="1">
      <alignment horizontal="center" vertical="center" wrapText="1"/>
      <protection hidden="1"/>
    </xf>
    <xf numFmtId="0" fontId="99" fillId="0" borderId="43" xfId="0" applyFont="1" applyFill="1" applyBorder="1" applyAlignment="1" applyProtection="1">
      <alignment horizontal="center" vertical="center" wrapText="1"/>
      <protection hidden="1"/>
    </xf>
    <xf numFmtId="173" fontId="110" fillId="24" borderId="27" xfId="0" applyNumberFormat="1" applyFont="1" applyFill="1" applyBorder="1" applyAlignment="1" applyProtection="1">
      <alignment horizontal="center" wrapText="1"/>
      <protection hidden="1"/>
    </xf>
    <xf numFmtId="173" fontId="156" fillId="29" borderId="33" xfId="0" applyNumberFormat="1" applyFont="1" applyFill="1" applyBorder="1" applyAlignment="1" applyProtection="1">
      <alignment horizontal="center" vertical="center" wrapText="1"/>
      <protection hidden="1"/>
    </xf>
    <xf numFmtId="173" fontId="156" fillId="29" borderId="30" xfId="0" applyNumberFormat="1" applyFont="1" applyFill="1" applyBorder="1" applyAlignment="1" applyProtection="1">
      <alignment horizontal="center" vertical="center" wrapText="1"/>
      <protection hidden="1"/>
    </xf>
    <xf numFmtId="173" fontId="156" fillId="29" borderId="34" xfId="0" applyNumberFormat="1" applyFont="1" applyFill="1" applyBorder="1" applyAlignment="1" applyProtection="1">
      <alignment horizontal="center" vertical="center" wrapText="1"/>
      <protection hidden="1"/>
    </xf>
    <xf numFmtId="173" fontId="156" fillId="29" borderId="76" xfId="0" applyNumberFormat="1" applyFont="1" applyFill="1" applyBorder="1" applyAlignment="1" applyProtection="1">
      <alignment horizontal="center" vertical="center" wrapText="1"/>
      <protection hidden="1"/>
    </xf>
    <xf numFmtId="173" fontId="156" fillId="29" borderId="77" xfId="0" applyNumberFormat="1" applyFont="1" applyFill="1" applyBorder="1" applyAlignment="1" applyProtection="1">
      <alignment horizontal="center" vertical="center" wrapText="1"/>
      <protection hidden="1"/>
    </xf>
    <xf numFmtId="173" fontId="156" fillId="29" borderId="78" xfId="0" applyNumberFormat="1" applyFont="1" applyFill="1" applyBorder="1" applyAlignment="1" applyProtection="1">
      <alignment horizontal="center" vertical="center" wrapText="1"/>
      <protection hidden="1"/>
    </xf>
    <xf numFmtId="0" fontId="95" fillId="24" borderId="11" xfId="0" applyFont="1" applyFill="1" applyBorder="1" applyAlignment="1" applyProtection="1">
      <alignment horizontal="center" vertical="center" textRotation="90"/>
      <protection hidden="1"/>
    </xf>
    <xf numFmtId="0" fontId="95" fillId="24" borderId="9" xfId="0" applyFont="1" applyFill="1" applyBorder="1" applyAlignment="1" applyProtection="1">
      <alignment horizontal="center" vertical="center" textRotation="90"/>
      <protection hidden="1"/>
    </xf>
    <xf numFmtId="0" fontId="95" fillId="24" borderId="10" xfId="0" applyFont="1" applyFill="1" applyBorder="1" applyAlignment="1" applyProtection="1">
      <alignment horizontal="center" vertical="center" textRotation="90"/>
      <protection hidden="1"/>
    </xf>
    <xf numFmtId="0" fontId="95" fillId="24" borderId="13" xfId="0" applyFont="1" applyFill="1" applyBorder="1" applyAlignment="1" applyProtection="1">
      <alignment horizontal="center" vertical="center" textRotation="90"/>
      <protection hidden="1"/>
    </xf>
    <xf numFmtId="0" fontId="57" fillId="0" borderId="24" xfId="0" applyFont="1" applyFill="1" applyBorder="1" applyAlignment="1" applyProtection="1">
      <alignment horizontal="center" vertical="center" wrapText="1"/>
      <protection hidden="1"/>
    </xf>
    <xf numFmtId="0" fontId="57" fillId="0" borderId="43" xfId="0" applyFont="1" applyFill="1" applyBorder="1" applyAlignment="1" applyProtection="1">
      <alignment horizontal="center" vertical="center" wrapText="1"/>
      <protection hidden="1"/>
    </xf>
    <xf numFmtId="1" fontId="146" fillId="6" borderId="44" xfId="0" applyNumberFormat="1" applyFont="1" applyFill="1" applyBorder="1" applyAlignment="1" applyProtection="1">
      <alignment horizontal="center" vertical="center" textRotation="90" wrapText="1" shrinkToFit="1"/>
      <protection hidden="1"/>
    </xf>
    <xf numFmtId="1" fontId="146" fillId="6" borderId="47" xfId="0" applyNumberFormat="1" applyFont="1" applyFill="1" applyBorder="1" applyAlignment="1" applyProtection="1">
      <alignment horizontal="center" vertical="center" textRotation="90" wrapText="1" shrinkToFit="1"/>
      <protection hidden="1"/>
    </xf>
    <xf numFmtId="1" fontId="146" fillId="6" borderId="65" xfId="0" applyNumberFormat="1" applyFont="1" applyFill="1" applyBorder="1" applyAlignment="1" applyProtection="1">
      <alignment horizontal="center" vertical="center" textRotation="90" wrapText="1" shrinkToFit="1"/>
      <protection hidden="1"/>
    </xf>
    <xf numFmtId="0" fontId="56" fillId="0" borderId="11" xfId="0" applyFont="1" applyFill="1" applyBorder="1" applyAlignment="1" applyProtection="1">
      <alignment horizontal="center" vertical="center" wrapText="1"/>
      <protection hidden="1"/>
    </xf>
    <xf numFmtId="0" fontId="95" fillId="6" borderId="11" xfId="0" applyFont="1" applyFill="1" applyBorder="1" applyAlignment="1" applyProtection="1">
      <alignment horizontal="center" vertical="center"/>
      <protection hidden="1"/>
    </xf>
    <xf numFmtId="0" fontId="94" fillId="0" borderId="33" xfId="0" applyFont="1" applyFill="1" applyBorder="1" applyAlignment="1" applyProtection="1">
      <alignment horizontal="center" vertical="center" wrapText="1"/>
      <protection hidden="1"/>
    </xf>
    <xf numFmtId="0" fontId="94" fillId="0" borderId="30" xfId="0" applyFont="1" applyFill="1" applyBorder="1" applyAlignment="1" applyProtection="1">
      <alignment horizontal="center" vertical="center" wrapText="1"/>
      <protection hidden="1"/>
    </xf>
    <xf numFmtId="0" fontId="94" fillId="0" borderId="83" xfId="0" applyFont="1" applyFill="1" applyBorder="1" applyAlignment="1" applyProtection="1">
      <alignment horizontal="center" vertical="center" wrapText="1"/>
      <protection hidden="1"/>
    </xf>
    <xf numFmtId="0" fontId="94" fillId="0" borderId="86" xfId="0" applyFont="1" applyFill="1" applyBorder="1" applyAlignment="1" applyProtection="1">
      <alignment horizontal="center" vertical="center" wrapText="1"/>
      <protection hidden="1"/>
    </xf>
    <xf numFmtId="0" fontId="94" fillId="0" borderId="39" xfId="0" applyFont="1" applyFill="1" applyBorder="1" applyAlignment="1" applyProtection="1">
      <alignment horizontal="center" vertical="center" wrapText="1"/>
      <protection hidden="1"/>
    </xf>
    <xf numFmtId="0" fontId="94" fillId="0" borderId="89" xfId="0" applyFont="1" applyFill="1" applyBorder="1" applyAlignment="1" applyProtection="1">
      <alignment horizontal="center" vertical="center" wrapText="1"/>
      <protection hidden="1"/>
    </xf>
    <xf numFmtId="0" fontId="59" fillId="0" borderId="76" xfId="0" applyFont="1" applyFill="1" applyBorder="1" applyAlignment="1" applyProtection="1">
      <alignment horizontal="center" vertical="center" wrapText="1"/>
      <protection hidden="1"/>
    </xf>
    <xf numFmtId="0" fontId="59" fillId="0" borderId="77" xfId="0" applyFont="1" applyFill="1" applyBorder="1" applyAlignment="1" applyProtection="1">
      <alignment horizontal="center" vertical="center" wrapText="1"/>
      <protection hidden="1"/>
    </xf>
    <xf numFmtId="0" fontId="59" fillId="0" borderId="82" xfId="0" applyFont="1" applyFill="1" applyBorder="1" applyAlignment="1" applyProtection="1">
      <alignment horizontal="center" vertical="center" wrapText="1"/>
      <protection hidden="1"/>
    </xf>
    <xf numFmtId="0" fontId="105" fillId="0" borderId="21" xfId="0" applyFont="1" applyFill="1" applyBorder="1" applyAlignment="1" applyProtection="1">
      <alignment horizontal="center" vertical="center" wrapText="1"/>
      <protection hidden="1"/>
    </xf>
    <xf numFmtId="0" fontId="105" fillId="0" borderId="38" xfId="0" applyFont="1" applyFill="1" applyBorder="1" applyAlignment="1" applyProtection="1">
      <alignment horizontal="center" vertical="center" wrapText="1"/>
      <protection hidden="1"/>
    </xf>
    <xf numFmtId="0" fontId="105" fillId="0" borderId="31" xfId="0" applyFont="1" applyFill="1" applyBorder="1" applyAlignment="1" applyProtection="1">
      <alignment horizontal="center" vertical="center" wrapText="1"/>
      <protection hidden="1"/>
    </xf>
    <xf numFmtId="1" fontId="66" fillId="6" borderId="43" xfId="0" applyNumberFormat="1" applyFont="1" applyFill="1" applyBorder="1" applyAlignment="1" applyProtection="1">
      <alignment horizontal="center" vertical="center" wrapText="1"/>
      <protection hidden="1"/>
    </xf>
    <xf numFmtId="1" fontId="91" fillId="6" borderId="43" xfId="0" applyNumberFormat="1" applyFont="1" applyFill="1" applyBorder="1" applyAlignment="1" applyProtection="1">
      <alignment horizontal="center" vertical="center" shrinkToFit="1"/>
      <protection hidden="1"/>
    </xf>
    <xf numFmtId="0" fontId="153" fillId="0" borderId="24" xfId="0" applyFont="1" applyFill="1" applyBorder="1" applyAlignment="1" applyProtection="1">
      <alignment horizontal="center" vertical="center" wrapText="1"/>
      <protection hidden="1"/>
    </xf>
    <xf numFmtId="0" fontId="153" fillId="0" borderId="43" xfId="0" applyFont="1" applyFill="1" applyBorder="1" applyAlignment="1" applyProtection="1">
      <alignment horizontal="center" vertical="center" wrapText="1"/>
      <protection hidden="1"/>
    </xf>
    <xf numFmtId="0" fontId="111" fillId="0" borderId="21" xfId="0" applyFont="1" applyFill="1" applyBorder="1" applyAlignment="1" applyProtection="1">
      <alignment horizontal="center" vertical="center" wrapText="1"/>
      <protection hidden="1"/>
    </xf>
    <xf numFmtId="0" fontId="111" fillId="0" borderId="38" xfId="0" applyFont="1" applyFill="1" applyBorder="1" applyAlignment="1" applyProtection="1">
      <alignment horizontal="center" vertical="center" wrapText="1"/>
      <protection hidden="1"/>
    </xf>
    <xf numFmtId="0" fontId="111" fillId="0" borderId="18" xfId="0" applyFont="1" applyFill="1" applyBorder="1" applyAlignment="1" applyProtection="1">
      <alignment horizontal="center" vertical="center" wrapText="1"/>
      <protection hidden="1"/>
    </xf>
    <xf numFmtId="0" fontId="157" fillId="0" borderId="45" xfId="0" applyFont="1" applyFill="1" applyBorder="1" applyAlignment="1" applyProtection="1">
      <alignment horizontal="center" vertical="center" wrapText="1"/>
      <protection hidden="1"/>
    </xf>
    <xf numFmtId="0" fontId="157" fillId="0" borderId="43" xfId="0" applyFont="1" applyFill="1" applyBorder="1" applyAlignment="1" applyProtection="1">
      <alignment horizontal="center" vertical="center" wrapText="1"/>
      <protection hidden="1"/>
    </xf>
    <xf numFmtId="174" fontId="103" fillId="6" borderId="0" xfId="0" applyNumberFormat="1" applyFont="1" applyFill="1" applyBorder="1" applyAlignment="1" applyProtection="1">
      <alignment horizontal="center" vertical="center" shrinkToFit="1"/>
      <protection hidden="1"/>
    </xf>
    <xf numFmtId="174" fontId="117" fillId="24" borderId="76" xfId="0" applyNumberFormat="1" applyFont="1" applyFill="1" applyBorder="1" applyAlignment="1" applyProtection="1">
      <alignment horizontal="center" vertical="center" shrinkToFit="1"/>
      <protection hidden="1"/>
    </xf>
    <xf numFmtId="174" fontId="117" fillId="24" borderId="77" xfId="0" applyNumberFormat="1" applyFont="1" applyFill="1" applyBorder="1" applyAlignment="1" applyProtection="1">
      <alignment horizontal="center" vertical="center" shrinkToFit="1"/>
      <protection hidden="1"/>
    </xf>
    <xf numFmtId="174" fontId="117" fillId="24" borderId="78" xfId="0" applyNumberFormat="1" applyFont="1" applyFill="1" applyBorder="1" applyAlignment="1" applyProtection="1">
      <alignment horizontal="center" vertical="center" shrinkToFit="1"/>
      <protection hidden="1"/>
    </xf>
    <xf numFmtId="0" fontId="151" fillId="0" borderId="24" xfId="0" applyFont="1" applyFill="1" applyBorder="1" applyAlignment="1" applyProtection="1">
      <alignment horizontal="center" vertical="center" wrapText="1"/>
      <protection hidden="1"/>
    </xf>
    <xf numFmtId="0" fontId="151" fillId="0" borderId="43" xfId="0" applyFont="1" applyFill="1" applyBorder="1" applyAlignment="1" applyProtection="1">
      <alignment horizontal="center" vertical="center" wrapText="1"/>
      <protection hidden="1"/>
    </xf>
    <xf numFmtId="1" fontId="101" fillId="24" borderId="45" xfId="0" applyNumberFormat="1" applyFont="1" applyFill="1" applyBorder="1" applyAlignment="1" applyProtection="1">
      <alignment horizontal="center" vertical="center" wrapText="1"/>
      <protection locked="0"/>
    </xf>
    <xf numFmtId="1" fontId="101" fillId="24" borderId="58" xfId="0" applyNumberFormat="1" applyFont="1" applyFill="1" applyBorder="1" applyAlignment="1" applyProtection="1">
      <alignment horizontal="center" vertical="center" wrapText="1"/>
      <protection locked="0"/>
    </xf>
    <xf numFmtId="0" fontId="56" fillId="0" borderId="26" xfId="0" applyFont="1" applyFill="1" applyBorder="1" applyAlignment="1" applyProtection="1">
      <alignment horizontal="center" vertical="center" wrapText="1"/>
      <protection hidden="1"/>
    </xf>
    <xf numFmtId="0" fontId="56" fillId="0" borderId="9" xfId="0" applyFont="1" applyFill="1" applyBorder="1" applyAlignment="1" applyProtection="1">
      <alignment horizontal="center" vertical="center" wrapText="1"/>
      <protection hidden="1"/>
    </xf>
    <xf numFmtId="0" fontId="56" fillId="0" borderId="24" xfId="0" applyFont="1" applyFill="1" applyBorder="1" applyAlignment="1" applyProtection="1">
      <alignment horizontal="center" vertical="center" wrapText="1"/>
      <protection hidden="1"/>
    </xf>
    <xf numFmtId="1" fontId="145" fillId="6" borderId="11" xfId="0" applyNumberFormat="1" applyFont="1" applyFill="1" applyBorder="1" applyAlignment="1" applyProtection="1">
      <alignment horizontal="center" vertical="center" textRotation="90" shrinkToFit="1"/>
      <protection hidden="1"/>
    </xf>
    <xf numFmtId="1" fontId="145" fillId="6" borderId="9" xfId="0" applyNumberFormat="1" applyFont="1" applyFill="1" applyBorder="1" applyAlignment="1" applyProtection="1">
      <alignment horizontal="center" vertical="center" textRotation="90" shrinkToFit="1"/>
      <protection hidden="1"/>
    </xf>
    <xf numFmtId="1" fontId="145" fillId="6" borderId="16" xfId="0" applyNumberFormat="1" applyFont="1" applyFill="1" applyBorder="1" applyAlignment="1" applyProtection="1">
      <alignment horizontal="center" vertical="center" textRotation="90" shrinkToFit="1"/>
      <protection hidden="1"/>
    </xf>
    <xf numFmtId="174" fontId="103" fillId="6" borderId="10" xfId="0" applyNumberFormat="1" applyFont="1" applyFill="1" applyBorder="1" applyAlignment="1" applyProtection="1">
      <alignment horizontal="center" vertical="center" shrinkToFit="1"/>
      <protection hidden="1"/>
    </xf>
    <xf numFmtId="174" fontId="103" fillId="6" borderId="11" xfId="0" applyNumberFormat="1" applyFont="1" applyFill="1" applyBorder="1" applyAlignment="1" applyProtection="1">
      <alignment horizontal="center" vertical="center" shrinkToFit="1"/>
      <protection hidden="1"/>
    </xf>
    <xf numFmtId="174" fontId="103" fillId="6" borderId="13" xfId="0" applyNumberFormat="1" applyFont="1" applyFill="1" applyBorder="1" applyAlignment="1" applyProtection="1">
      <alignment horizontal="center" vertical="center" shrinkToFit="1"/>
      <protection hidden="1"/>
    </xf>
    <xf numFmtId="174" fontId="103" fillId="6" borderId="9" xfId="0" applyNumberFormat="1" applyFont="1" applyFill="1" applyBorder="1" applyAlignment="1" applyProtection="1">
      <alignment horizontal="center" vertical="center" shrinkToFit="1"/>
      <protection hidden="1"/>
    </xf>
    <xf numFmtId="174" fontId="103" fillId="6" borderId="15" xfId="0" applyNumberFormat="1" applyFont="1" applyFill="1" applyBorder="1" applyAlignment="1" applyProtection="1">
      <alignment horizontal="center" vertical="center" shrinkToFit="1"/>
      <protection hidden="1"/>
    </xf>
    <xf numFmtId="174" fontId="103" fillId="6" borderId="16" xfId="0" applyNumberFormat="1" applyFont="1" applyFill="1" applyBorder="1" applyAlignment="1" applyProtection="1">
      <alignment horizontal="center" vertical="center" shrinkToFit="1"/>
      <protection hidden="1"/>
    </xf>
    <xf numFmtId="1" fontId="57" fillId="6" borderId="11" xfId="0" applyNumberFormat="1" applyFont="1" applyFill="1" applyBorder="1" applyAlignment="1" applyProtection="1">
      <alignment horizontal="center" vertical="center" textRotation="90" shrinkToFit="1"/>
      <protection hidden="1"/>
    </xf>
    <xf numFmtId="1" fontId="57" fillId="6" borderId="9" xfId="0" applyNumberFormat="1" applyFont="1" applyFill="1" applyBorder="1" applyAlignment="1" applyProtection="1">
      <alignment horizontal="center" vertical="center" textRotation="90" shrinkToFit="1"/>
      <protection hidden="1"/>
    </xf>
    <xf numFmtId="1" fontId="57" fillId="6" borderId="16" xfId="0" applyNumberFormat="1" applyFont="1" applyFill="1" applyBorder="1" applyAlignment="1" applyProtection="1">
      <alignment horizontal="center" vertical="center" textRotation="90" shrinkToFit="1"/>
      <protection hidden="1"/>
    </xf>
    <xf numFmtId="184" fontId="57" fillId="6" borderId="11" xfId="0" applyNumberFormat="1" applyFont="1" applyFill="1" applyBorder="1" applyAlignment="1" applyProtection="1">
      <alignment horizontal="center" vertical="center" textRotation="90" shrinkToFit="1"/>
      <protection hidden="1"/>
    </xf>
    <xf numFmtId="184" fontId="57" fillId="6" borderId="9" xfId="0" applyNumberFormat="1" applyFont="1" applyFill="1" applyBorder="1" applyAlignment="1" applyProtection="1">
      <alignment horizontal="center" vertical="center" textRotation="90" shrinkToFit="1"/>
      <protection hidden="1"/>
    </xf>
    <xf numFmtId="184" fontId="57" fillId="6" borderId="16" xfId="0" applyNumberFormat="1" applyFont="1" applyFill="1" applyBorder="1" applyAlignment="1" applyProtection="1">
      <alignment horizontal="center" vertical="center" textRotation="90" shrinkToFit="1"/>
      <protection hidden="1"/>
    </xf>
    <xf numFmtId="184" fontId="57" fillId="6" borderId="12" xfId="0" applyNumberFormat="1" applyFont="1" applyFill="1" applyBorder="1" applyAlignment="1" applyProtection="1">
      <alignment horizontal="center" vertical="center" textRotation="90" shrinkToFit="1"/>
      <protection hidden="1"/>
    </xf>
    <xf numFmtId="184" fontId="57" fillId="6" borderId="14" xfId="0" applyNumberFormat="1" applyFont="1" applyFill="1" applyBorder="1" applyAlignment="1" applyProtection="1">
      <alignment horizontal="center" vertical="center" textRotation="90" shrinkToFit="1"/>
      <protection hidden="1"/>
    </xf>
    <xf numFmtId="184" fontId="57" fillId="6" borderId="17" xfId="0" applyNumberFormat="1" applyFont="1" applyFill="1" applyBorder="1" applyAlignment="1" applyProtection="1">
      <alignment horizontal="center" vertical="center" textRotation="90" shrinkToFit="1"/>
      <protection hidden="1"/>
    </xf>
    <xf numFmtId="176" fontId="101" fillId="24" borderId="73" xfId="0" applyNumberFormat="1" applyFont="1" applyFill="1" applyBorder="1" applyAlignment="1" applyProtection="1">
      <alignment horizontal="center" vertical="center" wrapText="1" shrinkToFit="1"/>
      <protection hidden="1"/>
    </xf>
    <xf numFmtId="176" fontId="101" fillId="24" borderId="34" xfId="0" applyNumberFormat="1" applyFont="1" applyFill="1" applyBorder="1" applyAlignment="1" applyProtection="1">
      <alignment horizontal="center" vertical="center" wrapText="1" shrinkToFit="1"/>
      <protection hidden="1"/>
    </xf>
    <xf numFmtId="176" fontId="101" fillId="24" borderId="59" xfId="0" applyNumberFormat="1" applyFont="1" applyFill="1" applyBorder="1" applyAlignment="1" applyProtection="1">
      <alignment horizontal="center" vertical="center" wrapText="1" shrinkToFit="1"/>
      <protection hidden="1"/>
    </xf>
    <xf numFmtId="176" fontId="101" fillId="24" borderId="78" xfId="0" applyNumberFormat="1" applyFont="1" applyFill="1" applyBorder="1" applyAlignment="1" applyProtection="1">
      <alignment horizontal="center" vertical="center" wrapText="1" shrinkToFit="1"/>
      <protection hidden="1"/>
    </xf>
    <xf numFmtId="174" fontId="95" fillId="6" borderId="47" xfId="0" applyNumberFormat="1" applyFont="1" applyFill="1" applyBorder="1" applyAlignment="1" applyProtection="1">
      <alignment horizontal="center" vertical="center" shrinkToFit="1"/>
      <protection hidden="1"/>
    </xf>
    <xf numFmtId="176" fontId="91" fillId="6" borderId="71" xfId="0" applyNumberFormat="1" applyFont="1" applyFill="1" applyBorder="1" applyAlignment="1" applyProtection="1">
      <alignment horizontal="center" vertical="center" shrinkToFit="1"/>
      <protection hidden="1"/>
    </xf>
    <xf numFmtId="176" fontId="91" fillId="6" borderId="87" xfId="0" applyNumberFormat="1" applyFont="1" applyFill="1" applyBorder="1" applyAlignment="1" applyProtection="1">
      <alignment horizontal="center" vertical="center" shrinkToFit="1"/>
      <protection hidden="1"/>
    </xf>
    <xf numFmtId="0" fontId="153" fillId="0" borderId="58" xfId="0" applyFont="1" applyFill="1" applyBorder="1" applyAlignment="1" applyProtection="1">
      <alignment horizontal="center" vertical="center" wrapText="1"/>
      <protection hidden="1"/>
    </xf>
    <xf numFmtId="0" fontId="107" fillId="0" borderId="45" xfId="0" applyFont="1" applyFill="1" applyBorder="1" applyAlignment="1" applyProtection="1">
      <alignment horizontal="center" vertical="center" wrapText="1"/>
      <protection hidden="1"/>
    </xf>
    <xf numFmtId="0" fontId="107" fillId="0" borderId="58" xfId="0" applyFont="1" applyFill="1" applyBorder="1" applyAlignment="1" applyProtection="1">
      <alignment horizontal="center" vertical="center" wrapText="1"/>
      <protection hidden="1"/>
    </xf>
    <xf numFmtId="174" fontId="94" fillId="24" borderId="76" xfId="0" applyNumberFormat="1" applyFont="1" applyFill="1" applyBorder="1" applyAlignment="1" applyProtection="1">
      <alignment horizontal="center" vertical="center" shrinkToFit="1"/>
      <protection hidden="1"/>
    </xf>
    <xf numFmtId="174" fontId="94" fillId="24" borderId="77" xfId="0" applyNumberFormat="1" applyFont="1" applyFill="1" applyBorder="1" applyAlignment="1" applyProtection="1">
      <alignment horizontal="center" vertical="center" shrinkToFit="1"/>
      <protection hidden="1"/>
    </xf>
    <xf numFmtId="174" fontId="94" fillId="24" borderId="78" xfId="0" applyNumberFormat="1" applyFont="1" applyFill="1" applyBorder="1" applyAlignment="1" applyProtection="1">
      <alignment horizontal="center" vertical="center" shrinkToFit="1"/>
      <protection hidden="1"/>
    </xf>
    <xf numFmtId="0" fontId="99" fillId="0" borderId="11" xfId="0" applyFont="1" applyFill="1" applyBorder="1" applyAlignment="1" applyProtection="1">
      <alignment horizontal="center" vertical="center" textRotation="90" wrapText="1"/>
      <protection hidden="1"/>
    </xf>
    <xf numFmtId="0" fontId="99" fillId="0" borderId="9" xfId="0" applyFont="1" applyFill="1" applyBorder="1" applyAlignment="1" applyProtection="1">
      <alignment horizontal="center" vertical="center" textRotation="90" wrapText="1"/>
      <protection hidden="1"/>
    </xf>
    <xf numFmtId="0" fontId="99" fillId="0" borderId="24" xfId="0" applyFont="1" applyFill="1" applyBorder="1" applyAlignment="1" applyProtection="1">
      <alignment horizontal="center" vertical="center" textRotation="90" wrapText="1"/>
      <protection hidden="1"/>
    </xf>
    <xf numFmtId="0" fontId="105" fillId="0" borderId="18" xfId="0" applyFont="1" applyFill="1" applyBorder="1" applyAlignment="1" applyProtection="1">
      <alignment horizontal="center" vertical="center" wrapText="1"/>
      <protection hidden="1"/>
    </xf>
    <xf numFmtId="174" fontId="95" fillId="24" borderId="44" xfId="0" applyNumberFormat="1" applyFont="1" applyFill="1" applyBorder="1" applyAlignment="1" applyProtection="1">
      <alignment horizontal="center" vertical="center" shrinkToFit="1"/>
      <protection hidden="1"/>
    </xf>
    <xf numFmtId="174" fontId="95" fillId="24" borderId="65" xfId="0" applyNumberFormat="1" applyFont="1" applyFill="1" applyBorder="1" applyAlignment="1" applyProtection="1">
      <alignment horizontal="center" vertical="center" shrinkToFit="1"/>
      <protection hidden="1"/>
    </xf>
    <xf numFmtId="1" fontId="91" fillId="6" borderId="47" xfId="0" applyNumberFormat="1" applyFont="1" applyFill="1" applyBorder="1" applyAlignment="1" applyProtection="1">
      <alignment horizontal="center" vertical="center" shrinkToFit="1"/>
      <protection hidden="1"/>
    </xf>
    <xf numFmtId="174" fontId="67" fillId="6" borderId="30" xfId="0" applyNumberFormat="1" applyFont="1" applyFill="1" applyBorder="1" applyAlignment="1" applyProtection="1">
      <alignment horizontal="center" shrinkToFit="1"/>
      <protection hidden="1"/>
    </xf>
    <xf numFmtId="174" fontId="67" fillId="6" borderId="0" xfId="0" applyNumberFormat="1" applyFont="1" applyFill="1" applyBorder="1" applyAlignment="1" applyProtection="1">
      <alignment horizontal="center" shrinkToFit="1"/>
      <protection hidden="1"/>
    </xf>
    <xf numFmtId="165" fontId="57" fillId="6" borderId="0" xfId="0" applyNumberFormat="1" applyFont="1" applyFill="1" applyBorder="1" applyAlignment="1" applyProtection="1">
      <alignment horizontal="center" vertical="center" shrinkToFit="1"/>
      <protection hidden="1"/>
    </xf>
    <xf numFmtId="165" fontId="88" fillId="6" borderId="13" xfId="0" applyNumberFormat="1" applyFont="1" applyFill="1" applyBorder="1" applyAlignment="1" applyProtection="1">
      <alignment horizontal="center" vertical="center" shrinkToFit="1"/>
      <protection locked="0"/>
    </xf>
    <xf numFmtId="165" fontId="88" fillId="6" borderId="9" xfId="0" applyNumberFormat="1" applyFont="1" applyFill="1" applyBorder="1" applyAlignment="1" applyProtection="1">
      <alignment horizontal="center" vertical="center" shrinkToFit="1"/>
      <protection locked="0"/>
    </xf>
    <xf numFmtId="165" fontId="88" fillId="6" borderId="14" xfId="0" applyNumberFormat="1" applyFont="1" applyFill="1" applyBorder="1" applyAlignment="1" applyProtection="1">
      <alignment horizontal="center" vertical="center" shrinkToFit="1"/>
      <protection locked="0"/>
    </xf>
    <xf numFmtId="165" fontId="88" fillId="6" borderId="15" xfId="0" applyNumberFormat="1" applyFont="1" applyFill="1" applyBorder="1" applyAlignment="1" applyProtection="1">
      <alignment horizontal="center" vertical="center" shrinkToFit="1"/>
      <protection locked="0"/>
    </xf>
    <xf numFmtId="165" fontId="88" fillId="6" borderId="16" xfId="0" applyNumberFormat="1" applyFont="1" applyFill="1" applyBorder="1" applyAlignment="1" applyProtection="1">
      <alignment horizontal="center" vertical="center" shrinkToFit="1"/>
      <protection locked="0"/>
    </xf>
    <xf numFmtId="165" fontId="88" fillId="6" borderId="17" xfId="0" applyNumberFormat="1" applyFont="1" applyFill="1" applyBorder="1" applyAlignment="1" applyProtection="1">
      <alignment horizontal="center" vertical="center" shrinkToFit="1"/>
      <protection locked="0"/>
    </xf>
    <xf numFmtId="165" fontId="57" fillId="6" borderId="33" xfId="0" applyNumberFormat="1" applyFont="1" applyFill="1" applyBorder="1" applyAlignment="1" applyProtection="1">
      <alignment horizontal="center" vertical="center" shrinkToFit="1"/>
      <protection hidden="1"/>
    </xf>
    <xf numFmtId="165" fontId="57" fillId="6" borderId="30" xfId="0" applyNumberFormat="1" applyFont="1" applyFill="1" applyBorder="1" applyAlignment="1" applyProtection="1">
      <alignment horizontal="center" vertical="center" shrinkToFit="1"/>
      <protection hidden="1"/>
    </xf>
    <xf numFmtId="165" fontId="57" fillId="6" borderId="34" xfId="0" applyNumberFormat="1" applyFont="1" applyFill="1" applyBorder="1" applyAlignment="1" applyProtection="1">
      <alignment horizontal="center" vertical="center" shrinkToFit="1"/>
      <protection hidden="1"/>
    </xf>
    <xf numFmtId="165" fontId="88" fillId="6" borderId="10" xfId="0" applyNumberFormat="1" applyFont="1" applyFill="1" applyBorder="1" applyAlignment="1" applyProtection="1">
      <alignment horizontal="center" vertical="center" shrinkToFit="1"/>
      <protection locked="0"/>
    </xf>
    <xf numFmtId="165" fontId="88" fillId="6" borderId="11" xfId="0" applyNumberFormat="1" applyFont="1" applyFill="1" applyBorder="1" applyAlignment="1" applyProtection="1">
      <alignment horizontal="center" vertical="center" shrinkToFit="1"/>
      <protection locked="0"/>
    </xf>
    <xf numFmtId="165" fontId="88" fillId="6" borderId="12" xfId="0" applyNumberFormat="1" applyFont="1" applyFill="1" applyBorder="1" applyAlignment="1" applyProtection="1">
      <alignment horizontal="center" vertical="center" shrinkToFit="1"/>
      <protection locked="0"/>
    </xf>
    <xf numFmtId="165" fontId="57" fillId="6" borderId="10" xfId="0" applyNumberFormat="1" applyFont="1" applyFill="1" applyBorder="1" applyAlignment="1" applyProtection="1">
      <alignment horizontal="center" vertical="center" shrinkToFit="1"/>
      <protection hidden="1"/>
    </xf>
    <xf numFmtId="165" fontId="57" fillId="6" borderId="11" xfId="0" applyNumberFormat="1" applyFont="1" applyFill="1" applyBorder="1" applyAlignment="1" applyProtection="1">
      <alignment horizontal="center" vertical="center" shrinkToFit="1"/>
      <protection hidden="1"/>
    </xf>
    <xf numFmtId="165" fontId="57" fillId="6" borderId="12" xfId="0" applyNumberFormat="1" applyFont="1" applyFill="1" applyBorder="1" applyAlignment="1" applyProtection="1">
      <alignment horizontal="center" vertical="center" shrinkToFit="1"/>
      <protection hidden="1"/>
    </xf>
    <xf numFmtId="165" fontId="57" fillId="6" borderId="13" xfId="0" applyNumberFormat="1" applyFont="1" applyFill="1" applyBorder="1" applyAlignment="1" applyProtection="1">
      <alignment horizontal="center" vertical="center" shrinkToFit="1"/>
      <protection hidden="1"/>
    </xf>
    <xf numFmtId="165" fontId="57" fillId="6" borderId="9" xfId="0" applyNumberFormat="1" applyFont="1" applyFill="1" applyBorder="1" applyAlignment="1" applyProtection="1">
      <alignment horizontal="center" vertical="center" shrinkToFit="1"/>
      <protection hidden="1"/>
    </xf>
    <xf numFmtId="165" fontId="57" fillId="6" borderId="14" xfId="0" applyNumberFormat="1" applyFont="1" applyFill="1" applyBorder="1" applyAlignment="1" applyProtection="1">
      <alignment horizontal="center" vertical="center" shrinkToFit="1"/>
      <protection hidden="1"/>
    </xf>
    <xf numFmtId="165" fontId="57" fillId="6" borderId="15" xfId="0" applyNumberFormat="1" applyFont="1" applyFill="1" applyBorder="1" applyAlignment="1" applyProtection="1">
      <alignment horizontal="center" vertical="center" shrinkToFit="1"/>
      <protection hidden="1"/>
    </xf>
    <xf numFmtId="165" fontId="57" fillId="6" borderId="16" xfId="0" applyNumberFormat="1" applyFont="1" applyFill="1" applyBorder="1" applyAlignment="1" applyProtection="1">
      <alignment horizontal="center" vertical="center" shrinkToFit="1"/>
      <protection hidden="1"/>
    </xf>
    <xf numFmtId="165" fontId="57" fillId="6" borderId="17" xfId="0" applyNumberFormat="1" applyFont="1" applyFill="1" applyBorder="1" applyAlignment="1" applyProtection="1">
      <alignment horizontal="center" vertical="center" shrinkToFit="1"/>
      <protection hidden="1"/>
    </xf>
    <xf numFmtId="165" fontId="56" fillId="6" borderId="10" xfId="0" applyNumberFormat="1" applyFont="1" applyFill="1" applyBorder="1" applyAlignment="1" applyProtection="1">
      <alignment horizontal="center" vertical="center" shrinkToFit="1"/>
      <protection hidden="1"/>
    </xf>
    <xf numFmtId="165" fontId="56" fillId="6" borderId="11" xfId="0" applyNumberFormat="1" applyFont="1" applyFill="1" applyBorder="1" applyAlignment="1" applyProtection="1">
      <alignment horizontal="center" vertical="center" shrinkToFit="1"/>
      <protection hidden="1"/>
    </xf>
    <xf numFmtId="1" fontId="88" fillId="6" borderId="11" xfId="0" applyNumberFormat="1" applyFont="1" applyFill="1" applyBorder="1" applyAlignment="1" applyProtection="1">
      <alignment horizontal="center" vertical="center" shrinkToFit="1"/>
      <protection locked="0"/>
    </xf>
    <xf numFmtId="1" fontId="88" fillId="6" borderId="12" xfId="0" applyNumberFormat="1" applyFont="1" applyFill="1" applyBorder="1" applyAlignment="1" applyProtection="1">
      <alignment horizontal="center" vertical="center" shrinkToFit="1"/>
      <protection locked="0"/>
    </xf>
    <xf numFmtId="165" fontId="56" fillId="6" borderId="13" xfId="0" applyNumberFormat="1" applyFont="1" applyFill="1" applyBorder="1" applyAlignment="1" applyProtection="1">
      <alignment horizontal="center" vertical="center" shrinkToFit="1"/>
      <protection hidden="1"/>
    </xf>
    <xf numFmtId="165" fontId="56" fillId="6" borderId="9" xfId="0" applyNumberFormat="1" applyFont="1" applyFill="1" applyBorder="1" applyAlignment="1" applyProtection="1">
      <alignment horizontal="center" vertical="center" shrinkToFit="1"/>
      <protection hidden="1"/>
    </xf>
    <xf numFmtId="1" fontId="88" fillId="6" borderId="9" xfId="0" applyNumberFormat="1" applyFont="1" applyFill="1" applyBorder="1" applyAlignment="1" applyProtection="1">
      <alignment horizontal="center" vertical="center" shrinkToFit="1"/>
      <protection locked="0"/>
    </xf>
    <xf numFmtId="1" fontId="88" fillId="6" borderId="14" xfId="0" applyNumberFormat="1" applyFont="1" applyFill="1" applyBorder="1" applyAlignment="1" applyProtection="1">
      <alignment horizontal="center" vertical="center" shrinkToFit="1"/>
      <protection locked="0"/>
    </xf>
    <xf numFmtId="165" fontId="66" fillId="6" borderId="13" xfId="0" applyNumberFormat="1" applyFont="1" applyFill="1" applyBorder="1" applyAlignment="1" applyProtection="1">
      <alignment horizontal="center" vertical="center" shrinkToFit="1"/>
      <protection hidden="1"/>
    </xf>
    <xf numFmtId="165" fontId="66" fillId="6" borderId="9" xfId="0" applyNumberFormat="1" applyFont="1" applyFill="1" applyBorder="1" applyAlignment="1" applyProtection="1">
      <alignment horizontal="center" vertical="center" shrinkToFit="1"/>
      <protection hidden="1"/>
    </xf>
    <xf numFmtId="1" fontId="57" fillId="6" borderId="9" xfId="0" applyNumberFormat="1" applyFont="1" applyFill="1" applyBorder="1" applyAlignment="1" applyProtection="1">
      <alignment horizontal="center" vertical="center" shrinkToFit="1"/>
      <protection hidden="1"/>
    </xf>
    <xf numFmtId="1" fontId="57" fillId="6" borderId="14" xfId="0" applyNumberFormat="1" applyFont="1" applyFill="1" applyBorder="1" applyAlignment="1" applyProtection="1">
      <alignment horizontal="center" vertical="center" shrinkToFit="1"/>
      <protection hidden="1"/>
    </xf>
    <xf numFmtId="165" fontId="66" fillId="6" borderId="15" xfId="0" applyNumberFormat="1" applyFont="1" applyFill="1" applyBorder="1" applyAlignment="1" applyProtection="1">
      <alignment horizontal="center" vertical="center" shrinkToFit="1"/>
      <protection hidden="1"/>
    </xf>
    <xf numFmtId="165" fontId="66" fillId="6" borderId="16" xfId="0" applyNumberFormat="1" applyFont="1" applyFill="1" applyBorder="1" applyAlignment="1" applyProtection="1">
      <alignment horizontal="center" vertical="center" shrinkToFit="1"/>
      <protection hidden="1"/>
    </xf>
    <xf numFmtId="1" fontId="57" fillId="6" borderId="16" xfId="0" applyNumberFormat="1" applyFont="1" applyFill="1" applyBorder="1" applyAlignment="1" applyProtection="1">
      <alignment horizontal="center" vertical="center" shrinkToFit="1"/>
      <protection hidden="1"/>
    </xf>
    <xf numFmtId="1" fontId="57" fillId="6" borderId="17" xfId="0" applyNumberFormat="1" applyFont="1" applyFill="1" applyBorder="1" applyAlignment="1" applyProtection="1">
      <alignment horizontal="center" vertical="center" shrinkToFit="1"/>
      <protection hidden="1"/>
    </xf>
    <xf numFmtId="165" fontId="96" fillId="6" borderId="63" xfId="0" applyNumberFormat="1" applyFont="1" applyFill="1" applyBorder="1" applyAlignment="1" applyProtection="1">
      <alignment horizontal="center" vertical="center" wrapText="1" shrinkToFit="1"/>
      <protection hidden="1"/>
    </xf>
    <xf numFmtId="165" fontId="96" fillId="6" borderId="65" xfId="0" applyNumberFormat="1" applyFont="1" applyFill="1" applyBorder="1" applyAlignment="1" applyProtection="1">
      <alignment horizontal="center" vertical="center" wrapText="1" shrinkToFit="1"/>
      <protection hidden="1"/>
    </xf>
    <xf numFmtId="165" fontId="56" fillId="6" borderId="24" xfId="0" applyNumberFormat="1" applyFont="1" applyFill="1" applyBorder="1" applyAlignment="1" applyProtection="1">
      <alignment horizontal="center" vertical="center" wrapText="1" shrinkToFit="1"/>
      <protection hidden="1"/>
    </xf>
    <xf numFmtId="165" fontId="56" fillId="6" borderId="58" xfId="0" applyNumberFormat="1" applyFont="1" applyFill="1" applyBorder="1" applyAlignment="1" applyProtection="1">
      <alignment horizontal="center" vertical="center" wrapText="1" shrinkToFit="1"/>
      <protection hidden="1"/>
    </xf>
    <xf numFmtId="165" fontId="88" fillId="6" borderId="9" xfId="0" applyNumberFormat="1" applyFont="1" applyFill="1" applyBorder="1" applyAlignment="1" applyProtection="1">
      <alignment horizontal="center" vertical="center" shrinkToFit="1"/>
      <protection hidden="1"/>
    </xf>
    <xf numFmtId="165" fontId="88" fillId="6" borderId="16" xfId="0" applyNumberFormat="1" applyFont="1" applyFill="1" applyBorder="1" applyAlignment="1" applyProtection="1">
      <alignment horizontal="center" vertical="center" shrinkToFit="1"/>
      <protection hidden="1"/>
    </xf>
    <xf numFmtId="165" fontId="88" fillId="6" borderId="14" xfId="0" applyNumberFormat="1" applyFont="1" applyFill="1" applyBorder="1" applyAlignment="1" applyProtection="1">
      <alignment horizontal="center" vertical="center" shrinkToFit="1"/>
      <protection hidden="1"/>
    </xf>
    <xf numFmtId="165" fontId="88" fillId="6" borderId="17" xfId="0" applyNumberFormat="1" applyFont="1" applyFill="1" applyBorder="1" applyAlignment="1" applyProtection="1">
      <alignment horizontal="center" vertical="center" shrinkToFit="1"/>
      <protection hidden="1"/>
    </xf>
    <xf numFmtId="165" fontId="88" fillId="6" borderId="21" xfId="0" applyNumberFormat="1" applyFont="1" applyFill="1" applyBorder="1" applyAlignment="1" applyProtection="1">
      <alignment horizontal="center" vertical="center" wrapText="1" shrinkToFit="1"/>
      <protection locked="0"/>
    </xf>
    <xf numFmtId="165" fontId="88" fillId="6" borderId="18" xfId="0" applyNumberFormat="1" applyFont="1" applyFill="1" applyBorder="1" applyAlignment="1" applyProtection="1">
      <alignment horizontal="center" vertical="center" wrapText="1" shrinkToFit="1"/>
      <protection locked="0"/>
    </xf>
    <xf numFmtId="165" fontId="88" fillId="6" borderId="22" xfId="0" applyNumberFormat="1" applyFont="1" applyFill="1" applyBorder="1" applyAlignment="1" applyProtection="1">
      <alignment horizontal="center" vertical="center" wrapText="1" shrinkToFit="1"/>
      <protection locked="0"/>
    </xf>
    <xf numFmtId="165" fontId="88" fillId="6" borderId="19" xfId="0" applyNumberFormat="1" applyFont="1" applyFill="1" applyBorder="1" applyAlignment="1" applyProtection="1">
      <alignment horizontal="center" vertical="center" wrapText="1" shrinkToFit="1"/>
      <protection locked="0"/>
    </xf>
    <xf numFmtId="165" fontId="88" fillId="6" borderId="23" xfId="0" applyNumberFormat="1" applyFont="1" applyFill="1" applyBorder="1" applyAlignment="1" applyProtection="1">
      <alignment horizontal="center" vertical="center" wrapText="1" shrinkToFit="1"/>
      <protection locked="0"/>
    </xf>
    <xf numFmtId="165" fontId="88" fillId="6" borderId="20" xfId="0" applyNumberFormat="1" applyFont="1" applyFill="1" applyBorder="1" applyAlignment="1" applyProtection="1">
      <alignment horizontal="center" vertical="center" wrapText="1" shrinkToFit="1"/>
      <protection locked="0"/>
    </xf>
    <xf numFmtId="1" fontId="88" fillId="6" borderId="9" xfId="0" applyNumberFormat="1" applyFont="1" applyFill="1" applyBorder="1" applyAlignment="1" applyProtection="1">
      <alignment horizontal="center" vertical="center" shrinkToFit="1"/>
      <protection hidden="1"/>
    </xf>
    <xf numFmtId="1" fontId="88" fillId="6" borderId="14" xfId="0" applyNumberFormat="1" applyFont="1" applyFill="1" applyBorder="1" applyAlignment="1" applyProtection="1">
      <alignment horizontal="center" vertical="center" shrinkToFit="1"/>
      <protection hidden="1"/>
    </xf>
    <xf numFmtId="1" fontId="88" fillId="6" borderId="11" xfId="0" applyNumberFormat="1" applyFont="1" applyFill="1" applyBorder="1" applyAlignment="1" applyProtection="1">
      <alignment horizontal="center" vertical="center" shrinkToFit="1"/>
      <protection hidden="1"/>
    </xf>
    <xf numFmtId="1" fontId="88" fillId="6" borderId="12" xfId="0" applyNumberFormat="1" applyFont="1" applyFill="1" applyBorder="1" applyAlignment="1" applyProtection="1">
      <alignment horizontal="center" vertical="center" shrinkToFit="1"/>
      <protection hidden="1"/>
    </xf>
    <xf numFmtId="1" fontId="88" fillId="6" borderId="24" xfId="0" applyNumberFormat="1" applyFont="1" applyFill="1" applyBorder="1" applyAlignment="1" applyProtection="1">
      <alignment horizontal="center" vertical="center" shrinkToFit="1"/>
      <protection hidden="1"/>
    </xf>
    <xf numFmtId="1" fontId="88" fillId="6" borderId="64" xfId="0" applyNumberFormat="1" applyFont="1" applyFill="1" applyBorder="1" applyAlignment="1" applyProtection="1">
      <alignment horizontal="center" vertical="center" shrinkToFit="1"/>
      <protection hidden="1"/>
    </xf>
    <xf numFmtId="174" fontId="66" fillId="6" borderId="44" xfId="0" applyNumberFormat="1" applyFont="1" applyFill="1" applyBorder="1" applyAlignment="1" applyProtection="1">
      <alignment horizontal="center" vertical="center" shrinkToFit="1"/>
      <protection hidden="1"/>
    </xf>
    <xf numFmtId="174" fontId="66" fillId="6" borderId="45" xfId="0" applyNumberFormat="1" applyFont="1" applyFill="1" applyBorder="1" applyAlignment="1" applyProtection="1">
      <alignment horizontal="center" vertical="center" shrinkToFit="1"/>
      <protection hidden="1"/>
    </xf>
    <xf numFmtId="174" fontId="66" fillId="6" borderId="46" xfId="0" applyNumberFormat="1" applyFont="1" applyFill="1" applyBorder="1" applyAlignment="1" applyProtection="1">
      <alignment horizontal="center" vertical="center" shrinkToFit="1"/>
      <protection hidden="1"/>
    </xf>
    <xf numFmtId="174" fontId="88" fillId="6" borderId="11" xfId="0" applyNumberFormat="1" applyFont="1" applyFill="1" applyBorder="1" applyAlignment="1" applyProtection="1">
      <alignment horizontal="center" vertical="center" shrinkToFit="1"/>
      <protection hidden="1"/>
    </xf>
    <xf numFmtId="174" fontId="88" fillId="6" borderId="9" xfId="0" applyNumberFormat="1" applyFont="1" applyFill="1" applyBorder="1" applyAlignment="1" applyProtection="1">
      <alignment horizontal="center" vertical="center" shrinkToFit="1"/>
      <protection hidden="1"/>
    </xf>
    <xf numFmtId="174" fontId="59" fillId="6" borderId="11" xfId="0" applyNumberFormat="1" applyFont="1" applyFill="1" applyBorder="1" applyAlignment="1" applyProtection="1">
      <alignment horizontal="center" vertical="center" shrinkToFit="1"/>
      <protection hidden="1"/>
    </xf>
    <xf numFmtId="174" fontId="59" fillId="6" borderId="24" xfId="0" applyNumberFormat="1" applyFont="1" applyFill="1" applyBorder="1" applyAlignment="1" applyProtection="1">
      <alignment horizontal="center" vertical="center" shrinkToFit="1"/>
      <protection hidden="1"/>
    </xf>
    <xf numFmtId="174" fontId="59" fillId="6" borderId="10" xfId="0" applyNumberFormat="1" applyFont="1" applyFill="1" applyBorder="1" applyAlignment="1" applyProtection="1">
      <alignment horizontal="center" vertical="center" shrinkToFit="1"/>
      <protection hidden="1"/>
    </xf>
    <xf numFmtId="174" fontId="59" fillId="6" borderId="63" xfId="0" applyNumberFormat="1" applyFont="1" applyFill="1" applyBorder="1" applyAlignment="1" applyProtection="1">
      <alignment horizontal="center" vertical="center" shrinkToFit="1"/>
      <protection hidden="1"/>
    </xf>
    <xf numFmtId="1" fontId="139" fillId="6" borderId="23" xfId="0" applyNumberFormat="1" applyFont="1" applyFill="1" applyBorder="1" applyAlignment="1" applyProtection="1">
      <alignment horizontal="center" vertical="center" wrapText="1" shrinkToFit="1"/>
      <protection hidden="1"/>
    </xf>
    <xf numFmtId="1" fontId="139" fillId="6" borderId="20" xfId="0" applyNumberFormat="1" applyFont="1" applyFill="1" applyBorder="1" applyAlignment="1" applyProtection="1">
      <alignment horizontal="center" vertical="center" wrapText="1" shrinkToFit="1"/>
      <protection hidden="1"/>
    </xf>
    <xf numFmtId="0" fontId="4" fillId="0" borderId="49" xfId="0" applyFont="1" applyFill="1" applyBorder="1" applyAlignment="1" applyProtection="1">
      <alignment horizontal="center" vertical="center" wrapText="1"/>
      <protection hidden="1"/>
    </xf>
    <xf numFmtId="0" fontId="4" fillId="0" borderId="14" xfId="0" applyFont="1" applyFill="1" applyBorder="1" applyAlignment="1" applyProtection="1">
      <alignment horizontal="center" vertical="center" wrapText="1"/>
      <protection hidden="1"/>
    </xf>
    <xf numFmtId="0" fontId="4" fillId="0" borderId="64" xfId="0" applyFont="1" applyFill="1" applyBorder="1" applyAlignment="1" applyProtection="1">
      <alignment horizontal="center" vertical="center" wrapText="1"/>
      <protection hidden="1"/>
    </xf>
    <xf numFmtId="0" fontId="57" fillId="24" borderId="33" xfId="0" applyFont="1" applyFill="1" applyBorder="1" applyAlignment="1" applyProtection="1">
      <alignment horizontal="center" vertical="center"/>
      <protection hidden="1"/>
    </xf>
    <xf numFmtId="0" fontId="57" fillId="24" borderId="30" xfId="0" applyFont="1" applyFill="1" applyBorder="1" applyAlignment="1" applyProtection="1">
      <alignment horizontal="center" vertical="center"/>
      <protection hidden="1"/>
    </xf>
    <xf numFmtId="0" fontId="57" fillId="24" borderId="34" xfId="0" applyFont="1" applyFill="1" applyBorder="1" applyAlignment="1" applyProtection="1">
      <alignment horizontal="center" vertical="center"/>
      <protection hidden="1"/>
    </xf>
    <xf numFmtId="0" fontId="56" fillId="0" borderId="48" xfId="0" applyFont="1" applyFill="1" applyBorder="1" applyAlignment="1" applyProtection="1">
      <alignment horizontal="center" vertical="center" textRotation="90" wrapText="1"/>
      <protection hidden="1"/>
    </xf>
    <xf numFmtId="0" fontId="56" fillId="0" borderId="13" xfId="0" applyFont="1" applyFill="1" applyBorder="1" applyAlignment="1" applyProtection="1">
      <alignment horizontal="center" vertical="center" textRotation="90" wrapText="1"/>
      <protection hidden="1"/>
    </xf>
    <xf numFmtId="0" fontId="56" fillId="0" borderId="63" xfId="0" applyFont="1" applyFill="1" applyBorder="1" applyAlignment="1" applyProtection="1">
      <alignment horizontal="center" vertical="center" textRotation="90" wrapText="1"/>
      <protection hidden="1"/>
    </xf>
    <xf numFmtId="0" fontId="55" fillId="24" borderId="10" xfId="0" applyFont="1" applyFill="1" applyBorder="1" applyAlignment="1" applyProtection="1">
      <alignment horizontal="center" vertical="center"/>
      <protection hidden="1"/>
    </xf>
    <xf numFmtId="0" fontId="55" fillId="24" borderId="18" xfId="0" applyFont="1" applyFill="1" applyBorder="1" applyAlignment="1" applyProtection="1">
      <alignment horizontal="center" vertical="center"/>
      <protection hidden="1"/>
    </xf>
    <xf numFmtId="0" fontId="55" fillId="24" borderId="11" xfId="0" applyFont="1" applyFill="1" applyBorder="1" applyAlignment="1" applyProtection="1">
      <alignment horizontal="center" vertical="center"/>
      <protection hidden="1"/>
    </xf>
    <xf numFmtId="173" fontId="96" fillId="24" borderId="41" xfId="0" applyNumberFormat="1" applyFont="1" applyFill="1" applyBorder="1" applyAlignment="1" applyProtection="1">
      <alignment horizontal="center" vertical="center"/>
      <protection hidden="1"/>
    </xf>
    <xf numFmtId="173" fontId="96" fillId="24" borderId="36" xfId="0" applyNumberFormat="1" applyFont="1" applyFill="1" applyBorder="1" applyAlignment="1" applyProtection="1">
      <alignment horizontal="center" vertical="center"/>
      <protection hidden="1"/>
    </xf>
    <xf numFmtId="173" fontId="96" fillId="24" borderId="19" xfId="0" applyNumberFormat="1" applyFont="1" applyFill="1" applyBorder="1" applyAlignment="1" applyProtection="1">
      <alignment horizontal="center" vertical="center"/>
      <protection hidden="1"/>
    </xf>
    <xf numFmtId="173" fontId="96" fillId="24" borderId="42" xfId="0" applyNumberFormat="1" applyFont="1" applyFill="1" applyBorder="1" applyAlignment="1" applyProtection="1">
      <alignment horizontal="center" vertical="center"/>
      <protection hidden="1"/>
    </xf>
    <xf numFmtId="173" fontId="96" fillId="24" borderId="37" xfId="0" applyNumberFormat="1" applyFont="1" applyFill="1" applyBorder="1" applyAlignment="1" applyProtection="1">
      <alignment horizontal="center" vertical="center"/>
      <protection hidden="1"/>
    </xf>
    <xf numFmtId="173" fontId="96" fillId="24" borderId="20" xfId="0" applyNumberFormat="1" applyFont="1" applyFill="1" applyBorder="1" applyAlignment="1" applyProtection="1">
      <alignment horizontal="center" vertical="center"/>
      <protection hidden="1"/>
    </xf>
    <xf numFmtId="187" fontId="96" fillId="24" borderId="22" xfId="0" applyNumberFormat="1" applyFont="1" applyFill="1" applyBorder="1" applyAlignment="1" applyProtection="1">
      <alignment horizontal="center" vertical="center"/>
      <protection hidden="1"/>
    </xf>
    <xf numFmtId="187" fontId="96" fillId="24" borderId="19" xfId="0" applyNumberFormat="1" applyFont="1" applyFill="1" applyBorder="1" applyAlignment="1" applyProtection="1">
      <alignment horizontal="center" vertical="center"/>
      <protection hidden="1"/>
    </xf>
    <xf numFmtId="173" fontId="96" fillId="24" borderId="23" xfId="0" applyNumberFormat="1" applyFont="1" applyFill="1" applyBorder="1" applyAlignment="1" applyProtection="1">
      <alignment horizontal="center" vertical="center"/>
      <protection hidden="1"/>
    </xf>
    <xf numFmtId="1" fontId="101" fillId="6" borderId="43" xfId="0" applyNumberFormat="1" applyFont="1" applyFill="1" applyBorder="1" applyAlignment="1" applyProtection="1">
      <alignment horizontal="center" vertical="center" wrapText="1"/>
      <protection locked="0"/>
    </xf>
    <xf numFmtId="176" fontId="91" fillId="24" borderId="73" xfId="0" applyNumberFormat="1" applyFont="1" applyFill="1" applyBorder="1" applyAlignment="1" applyProtection="1">
      <alignment horizontal="center" vertical="center" shrinkToFit="1"/>
      <protection hidden="1"/>
    </xf>
    <xf numFmtId="176" fontId="91" fillId="24" borderId="83" xfId="0" applyNumberFormat="1" applyFont="1" applyFill="1" applyBorder="1" applyAlignment="1" applyProtection="1">
      <alignment horizontal="center" vertical="center" shrinkToFit="1"/>
      <protection hidden="1"/>
    </xf>
    <xf numFmtId="176" fontId="91" fillId="24" borderId="59" xfId="0" applyNumberFormat="1" applyFont="1" applyFill="1" applyBorder="1" applyAlignment="1" applyProtection="1">
      <alignment horizontal="center" vertical="center" shrinkToFit="1"/>
      <protection hidden="1"/>
    </xf>
    <xf numFmtId="176" fontId="91" fillId="24" borderId="82" xfId="0" applyNumberFormat="1" applyFont="1" applyFill="1" applyBorder="1" applyAlignment="1" applyProtection="1">
      <alignment horizontal="center" vertical="center" shrinkToFit="1"/>
      <protection hidden="1"/>
    </xf>
    <xf numFmtId="176" fontId="101" fillId="6" borderId="71" xfId="0" applyNumberFormat="1" applyFont="1" applyFill="1" applyBorder="1" applyAlignment="1" applyProtection="1">
      <alignment horizontal="center" vertical="center" wrapText="1" shrinkToFit="1"/>
      <protection hidden="1"/>
    </xf>
    <xf numFmtId="176" fontId="101" fillId="6" borderId="75" xfId="0" applyNumberFormat="1" applyFont="1" applyFill="1" applyBorder="1" applyAlignment="1" applyProtection="1">
      <alignment horizontal="center" vertical="center" wrapText="1" shrinkToFit="1"/>
      <protection hidden="1"/>
    </xf>
    <xf numFmtId="0" fontId="0" fillId="0" borderId="34" xfId="0" applyBorder="1"/>
    <xf numFmtId="0" fontId="0" fillId="0" borderId="59" xfId="0" applyBorder="1"/>
    <xf numFmtId="0" fontId="0" fillId="0" borderId="78" xfId="0" applyBorder="1"/>
    <xf numFmtId="1" fontId="91" fillId="24" borderId="44" xfId="0" applyNumberFormat="1" applyFont="1" applyFill="1" applyBorder="1" applyAlignment="1" applyProtection="1">
      <alignment horizontal="center" vertical="center" shrinkToFit="1"/>
      <protection hidden="1"/>
    </xf>
    <xf numFmtId="1" fontId="91" fillId="24" borderId="65" xfId="0" applyNumberFormat="1" applyFont="1" applyFill="1" applyBorder="1" applyAlignment="1" applyProtection="1">
      <alignment horizontal="center" vertical="center" shrinkToFit="1"/>
      <protection hidden="1"/>
    </xf>
    <xf numFmtId="1" fontId="91" fillId="24" borderId="45" xfId="0" applyNumberFormat="1" applyFont="1" applyFill="1" applyBorder="1" applyAlignment="1" applyProtection="1">
      <alignment horizontal="center" vertical="center" shrinkToFit="1"/>
      <protection hidden="1"/>
    </xf>
    <xf numFmtId="1" fontId="91" fillId="24" borderId="58" xfId="0" applyNumberFormat="1" applyFont="1" applyFill="1" applyBorder="1" applyAlignment="1" applyProtection="1">
      <alignment horizontal="center" vertical="center" shrinkToFit="1"/>
      <protection hidden="1"/>
    </xf>
    <xf numFmtId="1" fontId="66" fillId="24" borderId="45" xfId="0" applyNumberFormat="1" applyFont="1" applyFill="1" applyBorder="1" applyAlignment="1" applyProtection="1">
      <alignment horizontal="center" vertical="center" wrapText="1"/>
      <protection hidden="1"/>
    </xf>
    <xf numFmtId="1" fontId="66" fillId="24" borderId="58" xfId="0" applyNumberFormat="1" applyFont="1" applyFill="1" applyBorder="1" applyAlignment="1" applyProtection="1">
      <alignment horizontal="center" vertical="center" wrapText="1"/>
      <protection hidden="1"/>
    </xf>
    <xf numFmtId="0" fontId="95" fillId="0" borderId="73" xfId="0" applyFont="1" applyFill="1" applyBorder="1" applyAlignment="1" applyProtection="1">
      <alignment horizontal="center" vertical="center" wrapText="1"/>
      <protection hidden="1"/>
    </xf>
    <xf numFmtId="0" fontId="95" fillId="0" borderId="30" xfId="0" applyFont="1" applyFill="1" applyBorder="1" applyAlignment="1" applyProtection="1">
      <alignment horizontal="center" vertical="center" wrapText="1"/>
      <protection hidden="1"/>
    </xf>
    <xf numFmtId="0" fontId="95" fillId="0" borderId="83" xfId="0" applyFont="1" applyFill="1" applyBorder="1" applyAlignment="1" applyProtection="1">
      <alignment horizontal="center" vertical="center" wrapText="1"/>
      <protection hidden="1"/>
    </xf>
    <xf numFmtId="0" fontId="95" fillId="6" borderId="73" xfId="0" applyFont="1" applyFill="1" applyBorder="1" applyAlignment="1" applyProtection="1">
      <alignment horizontal="center" vertical="center"/>
      <protection hidden="1"/>
    </xf>
    <xf numFmtId="0" fontId="95" fillId="6" borderId="30" xfId="0" applyFont="1" applyFill="1" applyBorder="1" applyAlignment="1" applyProtection="1">
      <alignment horizontal="center" vertical="center"/>
      <protection hidden="1"/>
    </xf>
    <xf numFmtId="0" fontId="95" fillId="6" borderId="83" xfId="0" applyFont="1" applyFill="1" applyBorder="1" applyAlignment="1" applyProtection="1">
      <alignment horizontal="center" vertical="center"/>
      <protection hidden="1"/>
    </xf>
    <xf numFmtId="0" fontId="104" fillId="0" borderId="73" xfId="0" applyFont="1" applyFill="1" applyBorder="1" applyAlignment="1" applyProtection="1">
      <alignment horizontal="center" vertical="center" wrapText="1"/>
      <protection hidden="1"/>
    </xf>
    <xf numFmtId="0" fontId="104" fillId="0" borderId="30" xfId="0" applyFont="1" applyFill="1" applyBorder="1" applyAlignment="1" applyProtection="1">
      <alignment horizontal="center" vertical="center" wrapText="1"/>
      <protection hidden="1"/>
    </xf>
    <xf numFmtId="0" fontId="104" fillId="0" borderId="83" xfId="0" applyFont="1" applyFill="1" applyBorder="1" applyAlignment="1" applyProtection="1">
      <alignment horizontal="center" vertical="center" wrapText="1"/>
      <protection hidden="1"/>
    </xf>
    <xf numFmtId="0" fontId="95" fillId="6" borderId="35" xfId="0" applyFont="1" applyFill="1" applyBorder="1" applyAlignment="1" applyProtection="1">
      <alignment horizontal="center" vertical="center" wrapText="1"/>
      <protection hidden="1"/>
    </xf>
    <xf numFmtId="0" fontId="95" fillId="6" borderId="61" xfId="0" applyFont="1" applyFill="1" applyBorder="1" applyAlignment="1" applyProtection="1">
      <alignment horizontal="center" vertical="center" wrapText="1"/>
      <protection hidden="1"/>
    </xf>
    <xf numFmtId="0" fontId="95" fillId="6" borderId="57" xfId="0" applyFont="1" applyFill="1" applyBorder="1" applyAlignment="1" applyProtection="1">
      <alignment horizontal="center" vertical="center" wrapText="1"/>
      <protection hidden="1"/>
    </xf>
    <xf numFmtId="0" fontId="4" fillId="0" borderId="12" xfId="0" applyFont="1" applyFill="1" applyBorder="1" applyAlignment="1" applyProtection="1">
      <alignment horizontal="center" vertical="center" wrapText="1"/>
      <protection hidden="1"/>
    </xf>
    <xf numFmtId="1" fontId="146" fillId="6" borderId="11" xfId="0" applyNumberFormat="1" applyFont="1" applyFill="1" applyBorder="1" applyAlignment="1" applyProtection="1">
      <alignment horizontal="center" vertical="center" textRotation="90" shrinkToFit="1"/>
      <protection hidden="1"/>
    </xf>
    <xf numFmtId="1" fontId="146" fillId="6" borderId="9" xfId="0" applyNumberFormat="1" applyFont="1" applyFill="1" applyBorder="1" applyAlignment="1" applyProtection="1">
      <alignment horizontal="center" vertical="center" textRotation="90" shrinkToFit="1"/>
      <protection hidden="1"/>
    </xf>
    <xf numFmtId="1" fontId="146" fillId="6" borderId="16" xfId="0" applyNumberFormat="1" applyFont="1" applyFill="1" applyBorder="1" applyAlignment="1" applyProtection="1">
      <alignment horizontal="center" vertical="center" textRotation="90" shrinkToFit="1"/>
      <protection hidden="1"/>
    </xf>
    <xf numFmtId="1" fontId="110" fillId="6" borderId="11" xfId="0" applyNumberFormat="1" applyFont="1" applyFill="1" applyBorder="1" applyAlignment="1" applyProtection="1">
      <alignment horizontal="center" vertical="center" textRotation="90" shrinkToFit="1"/>
      <protection hidden="1"/>
    </xf>
    <xf numFmtId="1" fontId="110" fillId="6" borderId="9" xfId="0" applyNumberFormat="1" applyFont="1" applyFill="1" applyBorder="1" applyAlignment="1" applyProtection="1">
      <alignment horizontal="center" vertical="center" textRotation="90" shrinkToFit="1"/>
      <protection hidden="1"/>
    </xf>
    <xf numFmtId="1" fontId="110" fillId="6" borderId="16" xfId="0" applyNumberFormat="1" applyFont="1" applyFill="1" applyBorder="1" applyAlignment="1" applyProtection="1">
      <alignment horizontal="center" vertical="center" textRotation="90" shrinkToFit="1"/>
      <protection hidden="1"/>
    </xf>
    <xf numFmtId="0" fontId="95" fillId="24" borderId="46" xfId="0" applyFont="1" applyFill="1" applyBorder="1" applyAlignment="1" applyProtection="1">
      <alignment horizontal="center" vertical="center" wrapText="1"/>
      <protection locked="0"/>
    </xf>
    <xf numFmtId="0" fontId="95" fillId="24" borderId="60" xfId="0" applyFont="1" applyFill="1" applyBorder="1" applyAlignment="1" applyProtection="1">
      <alignment horizontal="center" vertical="center" wrapText="1"/>
      <protection locked="0"/>
    </xf>
    <xf numFmtId="0" fontId="95" fillId="6" borderId="88" xfId="0" applyFont="1" applyFill="1" applyBorder="1" applyAlignment="1" applyProtection="1">
      <alignment horizontal="center" vertical="center" wrapText="1"/>
      <protection locked="0"/>
    </xf>
    <xf numFmtId="174" fontId="88" fillId="6" borderId="42" xfId="0" applyNumberFormat="1" applyFont="1" applyFill="1" applyBorder="1" applyAlignment="1" applyProtection="1">
      <alignment horizontal="center" vertical="center" shrinkToFit="1"/>
      <protection hidden="1"/>
    </xf>
    <xf numFmtId="174" fontId="88" fillId="6" borderId="37" xfId="0" applyNumberFormat="1" applyFont="1" applyFill="1" applyBorder="1" applyAlignment="1" applyProtection="1">
      <alignment horizontal="center" vertical="center" shrinkToFit="1"/>
      <protection hidden="1"/>
    </xf>
    <xf numFmtId="174" fontId="88" fillId="6" borderId="84" xfId="0" applyNumberFormat="1" applyFont="1" applyFill="1" applyBorder="1" applyAlignment="1" applyProtection="1">
      <alignment horizontal="center" vertical="center" shrinkToFit="1"/>
      <protection hidden="1"/>
    </xf>
    <xf numFmtId="184" fontId="154" fillId="24" borderId="45" xfId="0" applyNumberFormat="1" applyFont="1" applyFill="1" applyBorder="1" applyAlignment="1" applyProtection="1">
      <alignment horizontal="center" vertical="center" wrapText="1"/>
      <protection hidden="1"/>
    </xf>
    <xf numFmtId="184" fontId="154" fillId="24" borderId="58" xfId="0" applyNumberFormat="1" applyFont="1" applyFill="1" applyBorder="1" applyAlignment="1" applyProtection="1">
      <alignment horizontal="center" vertical="center" wrapText="1"/>
      <protection hidden="1"/>
    </xf>
    <xf numFmtId="184" fontId="155" fillId="24" borderId="45" xfId="0" applyNumberFormat="1" applyFont="1" applyFill="1" applyBorder="1" applyAlignment="1" applyProtection="1">
      <alignment horizontal="center" vertical="center" wrapText="1"/>
      <protection hidden="1"/>
    </xf>
    <xf numFmtId="184" fontId="155" fillId="24" borderId="58" xfId="0" applyNumberFormat="1" applyFont="1" applyFill="1" applyBorder="1" applyAlignment="1" applyProtection="1">
      <alignment horizontal="center" vertical="center" wrapText="1"/>
      <protection hidden="1"/>
    </xf>
    <xf numFmtId="0" fontId="95" fillId="24" borderId="35" xfId="0" applyFont="1" applyFill="1" applyBorder="1" applyAlignment="1" applyProtection="1">
      <alignment horizontal="center" vertical="center" wrapText="1"/>
      <protection locked="0"/>
    </xf>
    <xf numFmtId="0" fontId="95" fillId="24" borderId="57" xfId="0" applyFont="1" applyFill="1" applyBorder="1" applyAlignment="1" applyProtection="1">
      <alignment horizontal="center" vertical="center" wrapText="1"/>
      <protection locked="0"/>
    </xf>
    <xf numFmtId="184" fontId="154" fillId="6" borderId="45" xfId="0" applyNumberFormat="1" applyFont="1" applyFill="1" applyBorder="1" applyAlignment="1" applyProtection="1">
      <alignment horizontal="center" vertical="center" wrapText="1"/>
      <protection hidden="1"/>
    </xf>
    <xf numFmtId="184" fontId="154" fillId="6" borderId="58" xfId="0" applyNumberFormat="1" applyFont="1" applyFill="1" applyBorder="1" applyAlignment="1" applyProtection="1">
      <alignment horizontal="center" vertical="center" wrapText="1"/>
      <protection hidden="1"/>
    </xf>
    <xf numFmtId="184" fontId="155" fillId="6" borderId="45" xfId="0" applyNumberFormat="1" applyFont="1" applyFill="1" applyBorder="1" applyAlignment="1" applyProtection="1">
      <alignment horizontal="center" vertical="center" wrapText="1"/>
      <protection hidden="1"/>
    </xf>
    <xf numFmtId="184" fontId="155" fillId="6" borderId="58" xfId="0" applyNumberFormat="1" applyFont="1" applyFill="1" applyBorder="1" applyAlignment="1" applyProtection="1">
      <alignment horizontal="center" vertical="center" wrapText="1"/>
      <protection hidden="1"/>
    </xf>
    <xf numFmtId="1" fontId="91" fillId="6" borderId="44" xfId="0" applyNumberFormat="1" applyFont="1" applyFill="1" applyBorder="1" applyAlignment="1" applyProtection="1">
      <alignment horizontal="center" vertical="center" shrinkToFit="1"/>
      <protection hidden="1"/>
    </xf>
    <xf numFmtId="1" fontId="91" fillId="6" borderId="65" xfId="0" applyNumberFormat="1" applyFont="1" applyFill="1" applyBorder="1" applyAlignment="1" applyProtection="1">
      <alignment horizontal="center" vertical="center" shrinkToFit="1"/>
      <protection hidden="1"/>
    </xf>
    <xf numFmtId="1" fontId="66" fillId="6" borderId="45" xfId="0" applyNumberFormat="1" applyFont="1" applyFill="1" applyBorder="1" applyAlignment="1" applyProtection="1">
      <alignment horizontal="center" vertical="center" wrapText="1"/>
      <protection hidden="1"/>
    </xf>
    <xf numFmtId="1" fontId="66" fillId="6" borderId="58" xfId="0" applyNumberFormat="1" applyFont="1" applyFill="1" applyBorder="1" applyAlignment="1" applyProtection="1">
      <alignment horizontal="center" vertical="center" wrapText="1"/>
      <protection hidden="1"/>
    </xf>
    <xf numFmtId="0" fontId="0" fillId="19" borderId="0" xfId="0" applyFill="1" applyBorder="1" applyAlignment="1" applyProtection="1">
      <alignment horizontal="center" vertical="center"/>
      <protection hidden="1"/>
    </xf>
    <xf numFmtId="1" fontId="66" fillId="6" borderId="9" xfId="0" applyNumberFormat="1" applyFont="1" applyFill="1" applyBorder="1" applyAlignment="1" applyProtection="1">
      <alignment horizontal="center" vertical="center" wrapText="1"/>
      <protection locked="0"/>
    </xf>
    <xf numFmtId="165" fontId="101" fillId="6" borderId="9" xfId="0" applyNumberFormat="1" applyFont="1" applyFill="1" applyBorder="1" applyAlignment="1" applyProtection="1">
      <alignment horizontal="center" vertical="center" wrapText="1"/>
      <protection locked="0"/>
    </xf>
    <xf numFmtId="165" fontId="101" fillId="6" borderId="9" xfId="0" applyNumberFormat="1" applyFont="1" applyFill="1" applyBorder="1" applyAlignment="1" applyProtection="1">
      <alignment horizontal="center" vertical="center" wrapText="1" shrinkToFit="1"/>
      <protection locked="0"/>
    </xf>
    <xf numFmtId="165" fontId="102" fillId="6" borderId="9" xfId="0" applyNumberFormat="1" applyFont="1" applyFill="1" applyBorder="1" applyAlignment="1" applyProtection="1">
      <alignment horizontal="center" vertical="center" wrapText="1" shrinkToFit="1"/>
      <protection locked="0"/>
    </xf>
    <xf numFmtId="176" fontId="91" fillId="6" borderId="9" xfId="0" applyNumberFormat="1" applyFont="1" applyFill="1" applyBorder="1" applyAlignment="1" applyProtection="1">
      <alignment horizontal="center" vertical="center" shrinkToFit="1"/>
      <protection hidden="1"/>
    </xf>
    <xf numFmtId="176" fontId="91" fillId="6" borderId="9" xfId="0" applyNumberFormat="1" applyFont="1" applyFill="1" applyBorder="1" applyAlignment="1" applyProtection="1">
      <alignment horizontal="center" vertical="center" wrapText="1" shrinkToFit="1"/>
      <protection hidden="1"/>
    </xf>
    <xf numFmtId="1" fontId="109" fillId="6" borderId="9" xfId="0" applyNumberFormat="1" applyFont="1" applyFill="1" applyBorder="1" applyAlignment="1" applyProtection="1">
      <alignment horizontal="center" vertical="center" wrapText="1" shrinkToFit="1"/>
      <protection hidden="1"/>
    </xf>
    <xf numFmtId="1" fontId="158" fillId="6" borderId="9" xfId="0" applyNumberFormat="1" applyFont="1" applyFill="1" applyBorder="1" applyAlignment="1" applyProtection="1">
      <alignment horizontal="center" vertical="center" wrapText="1" shrinkToFit="1"/>
      <protection hidden="1"/>
    </xf>
    <xf numFmtId="0" fontId="147" fillId="24" borderId="33" xfId="0" applyFont="1" applyFill="1" applyBorder="1" applyAlignment="1" applyProtection="1">
      <alignment horizontal="center" vertical="center" wrapText="1"/>
      <protection hidden="1"/>
    </xf>
    <xf numFmtId="0" fontId="147" fillId="24" borderId="30" xfId="0" applyFont="1" applyFill="1" applyBorder="1" applyAlignment="1" applyProtection="1">
      <alignment horizontal="center" vertical="center" wrapText="1"/>
      <protection hidden="1"/>
    </xf>
    <xf numFmtId="0" fontId="147" fillId="24" borderId="34" xfId="0" applyFont="1" applyFill="1" applyBorder="1" applyAlignment="1" applyProtection="1">
      <alignment horizontal="center" vertical="center" wrapText="1"/>
      <protection hidden="1"/>
    </xf>
    <xf numFmtId="0" fontId="103" fillId="24" borderId="76" xfId="0" applyFont="1" applyFill="1" applyBorder="1" applyAlignment="1" applyProtection="1">
      <alignment horizontal="center" vertical="center" wrapText="1"/>
      <protection hidden="1"/>
    </xf>
    <xf numFmtId="0" fontId="103" fillId="24" borderId="77" xfId="0" applyFont="1" applyFill="1" applyBorder="1" applyAlignment="1" applyProtection="1">
      <alignment horizontal="center" vertical="center" wrapText="1"/>
      <protection hidden="1"/>
    </xf>
    <xf numFmtId="0" fontId="103" fillId="24" borderId="78" xfId="0" applyFont="1" applyFill="1" applyBorder="1" applyAlignment="1" applyProtection="1">
      <alignment horizontal="center" vertical="center" wrapText="1"/>
      <protection hidden="1"/>
    </xf>
    <xf numFmtId="0" fontId="57" fillId="24" borderId="12" xfId="0" applyFont="1" applyFill="1" applyBorder="1" applyAlignment="1" applyProtection="1">
      <alignment horizontal="center" vertical="center" textRotation="90"/>
      <protection hidden="1"/>
    </xf>
    <xf numFmtId="0" fontId="57" fillId="24" borderId="14" xfId="0" applyFont="1" applyFill="1" applyBorder="1" applyAlignment="1" applyProtection="1">
      <alignment horizontal="center" vertical="center" textRotation="90"/>
      <protection hidden="1"/>
    </xf>
    <xf numFmtId="0" fontId="57" fillId="24" borderId="31" xfId="0" applyFont="1" applyFill="1" applyBorder="1" applyAlignment="1" applyProtection="1">
      <alignment horizontal="center" vertical="center" textRotation="90"/>
      <protection hidden="1"/>
    </xf>
    <xf numFmtId="0" fontId="57" fillId="24" borderId="32" xfId="0" applyFont="1" applyFill="1" applyBorder="1" applyAlignment="1" applyProtection="1">
      <alignment horizontal="center" vertical="center" textRotation="90"/>
      <protection hidden="1"/>
    </xf>
    <xf numFmtId="173" fontId="159" fillId="30" borderId="33" xfId="0" applyNumberFormat="1" applyFont="1" applyFill="1" applyBorder="1" applyAlignment="1" applyProtection="1">
      <alignment horizontal="center" vertical="center" wrapText="1"/>
      <protection hidden="1"/>
    </xf>
    <xf numFmtId="173" fontId="159" fillId="30" borderId="30" xfId="0" applyNumberFormat="1" applyFont="1" applyFill="1" applyBorder="1" applyAlignment="1" applyProtection="1">
      <alignment horizontal="center" vertical="center" wrapText="1"/>
      <protection hidden="1"/>
    </xf>
    <xf numFmtId="173" fontId="159" fillId="30" borderId="34" xfId="0" applyNumberFormat="1" applyFont="1" applyFill="1" applyBorder="1" applyAlignment="1" applyProtection="1">
      <alignment horizontal="center" vertical="center" wrapText="1"/>
      <protection hidden="1"/>
    </xf>
    <xf numFmtId="173" fontId="148" fillId="24" borderId="27" xfId="0" applyNumberFormat="1" applyFont="1" applyFill="1" applyBorder="1" applyAlignment="1" applyProtection="1">
      <alignment horizontal="center" wrapText="1"/>
      <protection hidden="1"/>
    </xf>
    <xf numFmtId="173" fontId="148" fillId="24" borderId="28" xfId="0" applyNumberFormat="1" applyFont="1" applyFill="1" applyBorder="1" applyAlignment="1" applyProtection="1">
      <alignment horizontal="center" wrapText="1"/>
      <protection hidden="1"/>
    </xf>
    <xf numFmtId="173" fontId="148" fillId="24" borderId="29" xfId="0" applyNumberFormat="1" applyFont="1" applyFill="1" applyBorder="1" applyAlignment="1" applyProtection="1">
      <alignment horizontal="center" wrapText="1"/>
      <protection hidden="1"/>
    </xf>
    <xf numFmtId="0" fontId="88" fillId="24" borderId="10" xfId="0" applyFont="1" applyFill="1" applyBorder="1" applyAlignment="1" applyProtection="1">
      <alignment horizontal="center" vertical="center" textRotation="90"/>
      <protection hidden="1"/>
    </xf>
    <xf numFmtId="0" fontId="88" fillId="24" borderId="13" xfId="0" applyFont="1" applyFill="1" applyBorder="1" applyAlignment="1" applyProtection="1">
      <alignment horizontal="center" vertical="center" textRotation="90"/>
      <protection hidden="1"/>
    </xf>
    <xf numFmtId="0" fontId="88" fillId="24" borderId="11" xfId="0" applyFont="1" applyFill="1" applyBorder="1" applyAlignment="1" applyProtection="1">
      <alignment horizontal="center" vertical="center" textRotation="90"/>
      <protection hidden="1"/>
    </xf>
    <xf numFmtId="0" fontId="88" fillId="24" borderId="9" xfId="0" applyFont="1" applyFill="1" applyBorder="1" applyAlignment="1" applyProtection="1">
      <alignment horizontal="center" vertical="center" textRotation="90"/>
      <protection hidden="1"/>
    </xf>
    <xf numFmtId="0" fontId="105" fillId="24" borderId="11" xfId="0" applyFont="1" applyFill="1" applyBorder="1" applyAlignment="1" applyProtection="1">
      <alignment horizontal="center" vertical="center" wrapText="1"/>
      <protection hidden="1"/>
    </xf>
    <xf numFmtId="0" fontId="105" fillId="24" borderId="12" xfId="0" applyFont="1" applyFill="1" applyBorder="1" applyAlignment="1" applyProtection="1">
      <alignment horizontal="center" vertical="center" wrapText="1"/>
      <protection hidden="1"/>
    </xf>
    <xf numFmtId="0" fontId="105" fillId="24" borderId="24" xfId="0" applyFont="1" applyFill="1" applyBorder="1" applyAlignment="1" applyProtection="1">
      <alignment horizontal="center" vertical="center" wrapText="1"/>
      <protection hidden="1"/>
    </xf>
    <xf numFmtId="0" fontId="105" fillId="24" borderId="64" xfId="0" applyFont="1" applyFill="1" applyBorder="1" applyAlignment="1" applyProtection="1">
      <alignment horizontal="center" vertical="center" wrapText="1"/>
      <protection hidden="1"/>
    </xf>
    <xf numFmtId="0" fontId="149" fillId="24" borderId="11" xfId="0" applyFont="1" applyFill="1" applyBorder="1" applyAlignment="1" applyProtection="1">
      <alignment horizontal="center" vertical="center" wrapText="1"/>
      <protection hidden="1"/>
    </xf>
    <xf numFmtId="0" fontId="108" fillId="24" borderId="24" xfId="0" applyFont="1" applyFill="1" applyBorder="1" applyAlignment="1" applyProtection="1">
      <alignment horizontal="center" vertical="center" wrapText="1"/>
      <protection hidden="1"/>
    </xf>
    <xf numFmtId="0" fontId="111" fillId="24" borderId="11" xfId="0" applyFont="1" applyFill="1" applyBorder="1" applyAlignment="1" applyProtection="1">
      <alignment horizontal="center" vertical="center" wrapText="1"/>
      <protection hidden="1"/>
    </xf>
    <xf numFmtId="0" fontId="111" fillId="24" borderId="24" xfId="0" applyFont="1" applyFill="1" applyBorder="1" applyAlignment="1" applyProtection="1">
      <alignment horizontal="center" vertical="center" wrapText="1"/>
      <protection hidden="1"/>
    </xf>
    <xf numFmtId="0" fontId="88" fillId="24" borderId="24" xfId="0" applyFont="1" applyFill="1" applyBorder="1" applyAlignment="1" applyProtection="1">
      <alignment horizontal="center" vertical="center" wrapText="1"/>
      <protection hidden="1"/>
    </xf>
    <xf numFmtId="0" fontId="59" fillId="24" borderId="11" xfId="0" applyFont="1" applyFill="1" applyBorder="1" applyAlignment="1" applyProtection="1">
      <alignment horizontal="center" vertical="center" wrapText="1"/>
      <protection hidden="1"/>
    </xf>
    <xf numFmtId="0" fontId="59" fillId="24" borderId="24" xfId="0" applyFont="1" applyFill="1" applyBorder="1" applyAlignment="1" applyProtection="1">
      <alignment horizontal="center" vertical="center" wrapText="1"/>
      <protection hidden="1"/>
    </xf>
    <xf numFmtId="0" fontId="146" fillId="24" borderId="33" xfId="0" applyFont="1" applyFill="1" applyBorder="1" applyAlignment="1" applyProtection="1">
      <alignment horizontal="center" vertical="center"/>
      <protection hidden="1"/>
    </xf>
    <xf numFmtId="0" fontId="146" fillId="24" borderId="30" xfId="0" applyFont="1" applyFill="1" applyBorder="1" applyAlignment="1" applyProtection="1">
      <alignment horizontal="center" vertical="center"/>
      <protection hidden="1"/>
    </xf>
    <xf numFmtId="0" fontId="146" fillId="24" borderId="34" xfId="0" applyFont="1" applyFill="1" applyBorder="1" applyAlignment="1" applyProtection="1">
      <alignment horizontal="center" vertical="center"/>
      <protection hidden="1"/>
    </xf>
    <xf numFmtId="0" fontId="115" fillId="24" borderId="10" xfId="0" applyFont="1" applyFill="1" applyBorder="1" applyAlignment="1" applyProtection="1">
      <alignment horizontal="center" vertical="center"/>
      <protection hidden="1"/>
    </xf>
    <xf numFmtId="0" fontId="115" fillId="24" borderId="18" xfId="0" applyFont="1" applyFill="1" applyBorder="1" applyAlignment="1" applyProtection="1">
      <alignment horizontal="center" vertical="center"/>
      <protection hidden="1"/>
    </xf>
    <xf numFmtId="0" fontId="115" fillId="24" borderId="11" xfId="0" applyFont="1" applyFill="1" applyBorder="1" applyAlignment="1" applyProtection="1">
      <alignment horizontal="center" vertical="center"/>
      <protection hidden="1"/>
    </xf>
    <xf numFmtId="178" fontId="96" fillId="24" borderId="22" xfId="0" applyNumberFormat="1" applyFont="1" applyFill="1" applyBorder="1" applyAlignment="1" applyProtection="1">
      <alignment horizontal="center" vertical="center"/>
      <protection hidden="1"/>
    </xf>
    <xf numFmtId="178" fontId="96" fillId="24" borderId="19" xfId="0" applyNumberFormat="1" applyFont="1" applyFill="1" applyBorder="1" applyAlignment="1" applyProtection="1">
      <alignment horizontal="center" vertical="center"/>
      <protection hidden="1"/>
    </xf>
    <xf numFmtId="0" fontId="100" fillId="24" borderId="11" xfId="0" applyFont="1" applyFill="1" applyBorder="1" applyAlignment="1" applyProtection="1">
      <alignment horizontal="center" vertical="center" wrapText="1"/>
      <protection hidden="1"/>
    </xf>
    <xf numFmtId="0" fontId="100" fillId="24" borderId="24" xfId="0" applyFont="1" applyFill="1" applyBorder="1" applyAlignment="1" applyProtection="1">
      <alignment horizontal="center" vertical="center" wrapText="1"/>
      <protection hidden="1"/>
    </xf>
    <xf numFmtId="0" fontId="56" fillId="24" borderId="10" xfId="0" applyFont="1" applyFill="1" applyBorder="1" applyAlignment="1" applyProtection="1">
      <alignment horizontal="center" vertical="center" textRotation="90" wrapText="1"/>
      <protection hidden="1"/>
    </xf>
    <xf numFmtId="0" fontId="56" fillId="24" borderId="63" xfId="0" applyFont="1" applyFill="1" applyBorder="1" applyAlignment="1" applyProtection="1">
      <alignment horizontal="center" vertical="center" textRotation="90" wrapText="1"/>
      <protection hidden="1"/>
    </xf>
    <xf numFmtId="0" fontId="56" fillId="24" borderId="11" xfId="0" applyFont="1" applyFill="1" applyBorder="1" applyAlignment="1" applyProtection="1">
      <alignment horizontal="center" vertical="center" wrapText="1"/>
      <protection hidden="1"/>
    </xf>
    <xf numFmtId="0" fontId="56" fillId="24" borderId="24" xfId="0" applyFont="1" applyFill="1" applyBorder="1" applyAlignment="1" applyProtection="1">
      <alignment horizontal="center" vertical="center" wrapText="1"/>
      <protection hidden="1"/>
    </xf>
    <xf numFmtId="177" fontId="96" fillId="24" borderId="22" xfId="0" applyNumberFormat="1" applyFont="1" applyFill="1" applyBorder="1" applyAlignment="1" applyProtection="1">
      <alignment horizontal="center" vertical="center"/>
      <protection hidden="1"/>
    </xf>
    <xf numFmtId="177" fontId="96" fillId="24" borderId="19" xfId="0" applyNumberFormat="1" applyFont="1" applyFill="1" applyBorder="1" applyAlignment="1" applyProtection="1">
      <alignment horizontal="center" vertical="center"/>
      <protection hidden="1"/>
    </xf>
    <xf numFmtId="179" fontId="96" fillId="24" borderId="23" xfId="0" applyNumberFormat="1" applyFont="1" applyFill="1" applyBorder="1" applyAlignment="1" applyProtection="1">
      <alignment horizontal="center" vertical="center"/>
      <protection hidden="1"/>
    </xf>
    <xf numFmtId="179" fontId="96" fillId="24" borderId="20" xfId="0" applyNumberFormat="1" applyFont="1" applyFill="1" applyBorder="1" applyAlignment="1" applyProtection="1">
      <alignment horizontal="center" vertical="center"/>
      <protection hidden="1"/>
    </xf>
    <xf numFmtId="0" fontId="56" fillId="27" borderId="15" xfId="0" applyFont="1" applyFill="1" applyBorder="1" applyAlignment="1" applyProtection="1">
      <alignment horizontal="center" vertical="center" wrapText="1"/>
      <protection hidden="1"/>
    </xf>
    <xf numFmtId="0" fontId="56" fillId="27" borderId="16" xfId="0" applyFont="1" applyFill="1" applyBorder="1" applyAlignment="1" applyProtection="1">
      <alignment horizontal="center" vertical="center" wrapText="1"/>
      <protection hidden="1"/>
    </xf>
    <xf numFmtId="0" fontId="56" fillId="6" borderId="16" xfId="0" applyFont="1" applyFill="1" applyBorder="1" applyAlignment="1" applyProtection="1">
      <alignment horizontal="center" vertical="center"/>
      <protection locked="0" hidden="1"/>
    </xf>
    <xf numFmtId="1" fontId="56" fillId="6" borderId="16" xfId="0" applyNumberFormat="1" applyFont="1" applyFill="1" applyBorder="1" applyAlignment="1" applyProtection="1">
      <alignment horizontal="center" vertical="center"/>
      <protection locked="0" hidden="1"/>
    </xf>
    <xf numFmtId="1" fontId="56" fillId="6" borderId="17" xfId="0" applyNumberFormat="1" applyFont="1" applyFill="1" applyBorder="1" applyAlignment="1" applyProtection="1">
      <alignment horizontal="center" vertical="center"/>
      <protection locked="0" hidden="1"/>
    </xf>
    <xf numFmtId="0" fontId="3" fillId="26" borderId="10" xfId="0" applyFont="1" applyFill="1" applyBorder="1" applyAlignment="1" applyProtection="1">
      <alignment horizontal="center" vertical="center"/>
      <protection hidden="1"/>
    </xf>
    <xf numFmtId="0" fontId="3" fillId="26" borderId="11" xfId="0" applyFont="1" applyFill="1" applyBorder="1" applyAlignment="1" applyProtection="1">
      <alignment horizontal="center" vertical="center"/>
      <protection hidden="1"/>
    </xf>
    <xf numFmtId="0" fontId="3" fillId="26" borderId="15" xfId="0" applyFont="1" applyFill="1" applyBorder="1" applyAlignment="1" applyProtection="1">
      <alignment horizontal="center" vertical="center"/>
      <protection hidden="1"/>
    </xf>
    <xf numFmtId="0" fontId="3" fillId="26" borderId="16" xfId="0" applyFont="1" applyFill="1" applyBorder="1" applyAlignment="1" applyProtection="1">
      <alignment horizontal="center" vertical="center"/>
      <protection hidden="1"/>
    </xf>
    <xf numFmtId="172" fontId="138" fillId="26" borderId="12" xfId="0" applyNumberFormat="1" applyFont="1" applyFill="1" applyBorder="1" applyAlignment="1" applyProtection="1">
      <alignment horizontal="center" vertical="center"/>
      <protection hidden="1"/>
    </xf>
    <xf numFmtId="172" fontId="138" fillId="26" borderId="17" xfId="0" applyNumberFormat="1" applyFont="1" applyFill="1" applyBorder="1" applyAlignment="1" applyProtection="1">
      <alignment horizontal="center" vertical="center"/>
      <protection hidden="1"/>
    </xf>
    <xf numFmtId="0" fontId="136" fillId="16" borderId="33" xfId="0" applyFont="1" applyFill="1" applyBorder="1" applyAlignment="1" applyProtection="1">
      <alignment horizontal="center" vertical="center" wrapText="1"/>
      <protection hidden="1"/>
    </xf>
    <xf numFmtId="0" fontId="136" fillId="16" borderId="30" xfId="0" applyFont="1" applyFill="1" applyBorder="1" applyAlignment="1" applyProtection="1">
      <alignment horizontal="center" vertical="center" wrapText="1"/>
      <protection hidden="1"/>
    </xf>
    <xf numFmtId="0" fontId="136" fillId="16" borderId="34" xfId="0" applyFont="1" applyFill="1" applyBorder="1" applyAlignment="1" applyProtection="1">
      <alignment horizontal="center" vertical="center" wrapText="1"/>
      <protection hidden="1"/>
    </xf>
    <xf numFmtId="0" fontId="119" fillId="16" borderId="13" xfId="0" applyFont="1" applyFill="1" applyBorder="1" applyAlignment="1" applyProtection="1">
      <alignment horizontal="center" vertical="center" wrapText="1"/>
      <protection hidden="1"/>
    </xf>
    <xf numFmtId="0" fontId="119" fillId="16" borderId="9" xfId="0" applyFont="1" applyFill="1" applyBorder="1" applyAlignment="1" applyProtection="1">
      <alignment horizontal="center" vertical="center" wrapText="1"/>
      <protection hidden="1"/>
    </xf>
    <xf numFmtId="0" fontId="119" fillId="16" borderId="9" xfId="0" applyFont="1" applyFill="1" applyBorder="1" applyAlignment="1" applyProtection="1">
      <alignment horizontal="center" vertical="center"/>
      <protection hidden="1"/>
    </xf>
    <xf numFmtId="0" fontId="120" fillId="16" borderId="44" xfId="0" applyFont="1" applyFill="1" applyBorder="1" applyAlignment="1" applyProtection="1">
      <alignment horizontal="center" vertical="center" wrapText="1"/>
      <protection hidden="1"/>
    </xf>
    <xf numFmtId="0" fontId="120" fillId="16" borderId="47" xfId="0" applyFont="1" applyFill="1" applyBorder="1" applyAlignment="1" applyProtection="1">
      <alignment horizontal="center" vertical="center" wrapText="1"/>
      <protection hidden="1"/>
    </xf>
    <xf numFmtId="0" fontId="120" fillId="16" borderId="73" xfId="0" applyFont="1" applyFill="1" applyBorder="1" applyAlignment="1" applyProtection="1">
      <alignment horizontal="center" vertical="center" wrapText="1"/>
      <protection hidden="1"/>
    </xf>
    <xf numFmtId="0" fontId="120" fillId="16" borderId="83" xfId="0" applyFont="1" applyFill="1" applyBorder="1" applyAlignment="1" applyProtection="1">
      <alignment horizontal="center" vertical="center" wrapText="1"/>
      <protection hidden="1"/>
    </xf>
    <xf numFmtId="0" fontId="120" fillId="16" borderId="71" xfId="0" applyFont="1" applyFill="1" applyBorder="1" applyAlignment="1" applyProtection="1">
      <alignment horizontal="center" vertical="center" wrapText="1"/>
      <protection hidden="1"/>
    </xf>
    <xf numFmtId="0" fontId="120" fillId="16" borderId="87" xfId="0" applyFont="1" applyFill="1" applyBorder="1" applyAlignment="1" applyProtection="1">
      <alignment horizontal="center" vertical="center" wrapText="1"/>
      <protection hidden="1"/>
    </xf>
    <xf numFmtId="0" fontId="120" fillId="16" borderId="45" xfId="0" applyFont="1" applyFill="1" applyBorder="1" applyAlignment="1" applyProtection="1">
      <alignment horizontal="center" vertical="center" textRotation="90" wrapText="1"/>
      <protection hidden="1"/>
    </xf>
    <xf numFmtId="0" fontId="120" fillId="16" borderId="43" xfId="0" applyFont="1" applyFill="1" applyBorder="1" applyAlignment="1" applyProtection="1">
      <alignment horizontal="center" vertical="center" textRotation="90" wrapText="1"/>
      <protection hidden="1"/>
    </xf>
    <xf numFmtId="0" fontId="120" fillId="16" borderId="45" xfId="0" applyFont="1" applyFill="1" applyBorder="1" applyAlignment="1" applyProtection="1">
      <alignment horizontal="center" vertical="center" wrapText="1"/>
      <protection hidden="1"/>
    </xf>
    <xf numFmtId="0" fontId="120" fillId="16" borderId="43" xfId="0" applyFont="1" applyFill="1" applyBorder="1" applyAlignment="1" applyProtection="1">
      <alignment horizontal="center" vertical="center" wrapText="1"/>
      <protection hidden="1"/>
    </xf>
    <xf numFmtId="0" fontId="120" fillId="16" borderId="34" xfId="0" applyFont="1" applyFill="1" applyBorder="1" applyAlignment="1" applyProtection="1">
      <alignment horizontal="center" vertical="center" wrapText="1"/>
      <protection hidden="1"/>
    </xf>
    <xf numFmtId="0" fontId="120" fillId="16" borderId="75" xfId="0" applyFont="1" applyFill="1" applyBorder="1" applyAlignment="1" applyProtection="1">
      <alignment horizontal="center" vertical="center" wrapText="1"/>
      <protection hidden="1"/>
    </xf>
    <xf numFmtId="172" fontId="120" fillId="16" borderId="73" xfId="0" applyNumberFormat="1" applyFont="1" applyFill="1" applyBorder="1" applyAlignment="1" applyProtection="1">
      <alignment horizontal="center" vertical="center"/>
      <protection hidden="1"/>
    </xf>
    <xf numFmtId="172" fontId="120" fillId="16" borderId="34" xfId="0" applyNumberFormat="1" applyFont="1" applyFill="1" applyBorder="1" applyAlignment="1" applyProtection="1">
      <alignment horizontal="center" vertical="center"/>
      <protection hidden="1"/>
    </xf>
    <xf numFmtId="172" fontId="120" fillId="16" borderId="53" xfId="0" applyNumberFormat="1" applyFont="1" applyFill="1" applyBorder="1" applyAlignment="1" applyProtection="1">
      <alignment horizontal="center" vertical="center"/>
      <protection hidden="1"/>
    </xf>
    <xf numFmtId="172" fontId="120" fillId="16" borderId="40" xfId="0" applyNumberFormat="1" applyFont="1" applyFill="1" applyBorder="1" applyAlignment="1" applyProtection="1">
      <alignment horizontal="center" vertical="center"/>
      <protection hidden="1"/>
    </xf>
    <xf numFmtId="2" fontId="120" fillId="16" borderId="45" xfId="0" applyNumberFormat="1" applyFont="1" applyFill="1" applyBorder="1" applyAlignment="1" applyProtection="1">
      <alignment horizontal="center" vertical="center"/>
      <protection hidden="1"/>
    </xf>
    <xf numFmtId="2" fontId="120" fillId="16" borderId="26" xfId="0" applyNumberFormat="1" applyFont="1" applyFill="1" applyBorder="1" applyAlignment="1" applyProtection="1">
      <alignment horizontal="center" vertical="center"/>
      <protection hidden="1"/>
    </xf>
    <xf numFmtId="1" fontId="120" fillId="16" borderId="45" xfId="0" applyNumberFormat="1" applyFont="1" applyFill="1" applyBorder="1" applyAlignment="1" applyProtection="1">
      <alignment horizontal="center" vertical="center"/>
      <protection hidden="1"/>
    </xf>
    <xf numFmtId="1" fontId="120" fillId="16" borderId="26" xfId="0" applyNumberFormat="1" applyFont="1" applyFill="1" applyBorder="1" applyAlignment="1" applyProtection="1">
      <alignment horizontal="center" vertical="center"/>
      <protection hidden="1"/>
    </xf>
    <xf numFmtId="1" fontId="120" fillId="16" borderId="73" xfId="0" applyNumberFormat="1" applyFont="1" applyFill="1" applyBorder="1" applyAlignment="1" applyProtection="1">
      <alignment horizontal="center" vertical="center"/>
      <protection hidden="1"/>
    </xf>
    <xf numFmtId="1" fontId="120" fillId="16" borderId="83" xfId="0" applyNumberFormat="1" applyFont="1" applyFill="1" applyBorder="1" applyAlignment="1" applyProtection="1">
      <alignment horizontal="center" vertical="center"/>
      <protection hidden="1"/>
    </xf>
    <xf numFmtId="1" fontId="120" fillId="16" borderId="53" xfId="0" applyNumberFormat="1" applyFont="1" applyFill="1" applyBorder="1" applyAlignment="1" applyProtection="1">
      <alignment horizontal="center" vertical="center"/>
      <protection hidden="1"/>
    </xf>
    <xf numFmtId="1" fontId="120" fillId="16" borderId="89" xfId="0" applyNumberFormat="1" applyFont="1" applyFill="1" applyBorder="1" applyAlignment="1" applyProtection="1">
      <alignment horizontal="center" vertical="center"/>
      <protection hidden="1"/>
    </xf>
    <xf numFmtId="0" fontId="120" fillId="16" borderId="48" xfId="0" applyFont="1" applyFill="1" applyBorder="1" applyAlignment="1" applyProtection="1">
      <alignment horizontal="center" vertical="center" wrapText="1"/>
      <protection hidden="1"/>
    </xf>
    <xf numFmtId="172" fontId="120" fillId="16" borderId="51" xfId="0" applyNumberFormat="1" applyFont="1" applyFill="1" applyBorder="1" applyAlignment="1" applyProtection="1">
      <alignment horizontal="center" vertical="center"/>
      <protection hidden="1"/>
    </xf>
    <xf numFmtId="172" fontId="120" fillId="16" borderId="81" xfId="0" applyNumberFormat="1" applyFont="1" applyFill="1" applyBorder="1" applyAlignment="1" applyProtection="1">
      <alignment horizontal="center" vertical="center"/>
      <protection hidden="1"/>
    </xf>
    <xf numFmtId="1" fontId="120" fillId="16" borderId="51" xfId="0" applyNumberFormat="1" applyFont="1" applyFill="1" applyBorder="1" applyAlignment="1" applyProtection="1">
      <alignment horizontal="center" vertical="center"/>
      <protection hidden="1"/>
    </xf>
    <xf numFmtId="1" fontId="120" fillId="16" borderId="25" xfId="0" applyNumberFormat="1" applyFont="1" applyFill="1" applyBorder="1" applyAlignment="1" applyProtection="1">
      <alignment horizontal="center" vertical="center"/>
      <protection hidden="1"/>
    </xf>
    <xf numFmtId="0" fontId="56" fillId="27" borderId="13" xfId="0" applyFont="1" applyFill="1" applyBorder="1" applyAlignment="1" applyProtection="1">
      <alignment horizontal="center" vertical="center" wrapText="1"/>
      <protection hidden="1"/>
    </xf>
    <xf numFmtId="0" fontId="56" fillId="27" borderId="9" xfId="0" applyFont="1" applyFill="1" applyBorder="1" applyAlignment="1" applyProtection="1">
      <alignment horizontal="center" vertical="center" wrapText="1"/>
      <protection hidden="1"/>
    </xf>
    <xf numFmtId="0" fontId="56" fillId="6" borderId="9" xfId="0" applyFont="1" applyFill="1" applyBorder="1" applyAlignment="1" applyProtection="1">
      <alignment horizontal="center" vertical="center"/>
      <protection locked="0" hidden="1"/>
    </xf>
    <xf numFmtId="1" fontId="56" fillId="6" borderId="9" xfId="0" applyNumberFormat="1" applyFont="1" applyFill="1" applyBorder="1" applyAlignment="1" applyProtection="1">
      <alignment horizontal="center" vertical="center"/>
      <protection locked="0" hidden="1"/>
    </xf>
    <xf numFmtId="1" fontId="56" fillId="6" borderId="14" xfId="0" applyNumberFormat="1" applyFont="1" applyFill="1" applyBorder="1" applyAlignment="1" applyProtection="1">
      <alignment horizontal="center" vertical="center"/>
      <protection locked="0" hidden="1"/>
    </xf>
    <xf numFmtId="0" fontId="27" fillId="0" borderId="13" xfId="0" applyFont="1" applyBorder="1" applyAlignment="1" applyProtection="1">
      <alignment horizontal="left" vertical="center" indent="1"/>
      <protection hidden="1"/>
    </xf>
    <xf numFmtId="0" fontId="27" fillId="0" borderId="9" xfId="0" applyFont="1" applyBorder="1" applyAlignment="1" applyProtection="1">
      <alignment horizontal="left" vertical="center" indent="1"/>
      <protection hidden="1"/>
    </xf>
    <xf numFmtId="0" fontId="27" fillId="0" borderId="14" xfId="0" applyFont="1" applyBorder="1" applyAlignment="1" applyProtection="1">
      <alignment horizontal="left" vertical="center" indent="1"/>
      <protection hidden="1"/>
    </xf>
    <xf numFmtId="0" fontId="27" fillId="0" borderId="63" xfId="0" applyFont="1" applyBorder="1" applyAlignment="1" applyProtection="1">
      <alignment horizontal="left" vertical="center" indent="1"/>
      <protection hidden="1"/>
    </xf>
    <xf numFmtId="0" fontId="27" fillId="0" borderId="24" xfId="0" applyFont="1" applyBorder="1" applyAlignment="1" applyProtection="1">
      <alignment horizontal="left" vertical="center" indent="1"/>
      <protection hidden="1"/>
    </xf>
    <xf numFmtId="0" fontId="27" fillId="0" borderId="64" xfId="0" applyFont="1" applyBorder="1" applyAlignment="1" applyProtection="1">
      <alignment horizontal="left" vertical="center" indent="1"/>
      <protection hidden="1"/>
    </xf>
    <xf numFmtId="0" fontId="48" fillId="26" borderId="12" xfId="0" applyFont="1" applyFill="1" applyBorder="1" applyAlignment="1" applyProtection="1">
      <alignment horizontal="center" vertical="center"/>
      <protection hidden="1"/>
    </xf>
    <xf numFmtId="0" fontId="48" fillId="26" borderId="17" xfId="0" applyFont="1" applyFill="1" applyBorder="1" applyAlignment="1" applyProtection="1">
      <alignment horizontal="center" vertical="center"/>
      <protection hidden="1"/>
    </xf>
    <xf numFmtId="0" fontId="3" fillId="0" borderId="43" xfId="0" applyFont="1" applyBorder="1" applyAlignment="1" applyProtection="1">
      <alignment horizontal="center" vertical="center"/>
      <protection locked="0"/>
    </xf>
    <xf numFmtId="0" fontId="3" fillId="0" borderId="88" xfId="0" applyFont="1" applyBorder="1" applyAlignment="1" applyProtection="1">
      <alignment horizontal="center" vertical="center"/>
      <protection locked="0"/>
    </xf>
    <xf numFmtId="0" fontId="126" fillId="0" borderId="10" xfId="0" applyFont="1" applyBorder="1" applyAlignment="1" applyProtection="1">
      <alignment horizontal="center" vertical="center"/>
      <protection hidden="1"/>
    </xf>
    <xf numFmtId="0" fontId="126" fillId="0" borderId="11" xfId="0" applyFont="1" applyBorder="1" applyAlignment="1" applyProtection="1">
      <alignment horizontal="center" vertical="center"/>
      <protection hidden="1"/>
    </xf>
    <xf numFmtId="0" fontId="126" fillId="0" borderId="12" xfId="0" applyFont="1" applyBorder="1" applyAlignment="1" applyProtection="1">
      <alignment horizontal="center" vertical="center"/>
      <protection hidden="1"/>
    </xf>
    <xf numFmtId="0" fontId="3" fillId="0" borderId="63" xfId="0" applyFont="1" applyBorder="1" applyAlignment="1" applyProtection="1">
      <alignment horizontal="right" vertical="center"/>
      <protection hidden="1"/>
    </xf>
    <xf numFmtId="0" fontId="3" fillId="0" borderId="24" xfId="0" applyFont="1" applyBorder="1" applyAlignment="1" applyProtection="1">
      <alignment horizontal="right" vertical="center"/>
      <protection hidden="1"/>
    </xf>
    <xf numFmtId="0" fontId="3" fillId="0" borderId="64" xfId="0" applyFont="1" applyBorder="1" applyAlignment="1" applyProtection="1">
      <alignment horizontal="right" vertical="center"/>
      <protection hidden="1"/>
    </xf>
    <xf numFmtId="0" fontId="60" fillId="26" borderId="11" xfId="0" applyFont="1" applyFill="1" applyBorder="1" applyAlignment="1" applyProtection="1">
      <alignment horizontal="center" vertical="center"/>
      <protection locked="0"/>
    </xf>
    <xf numFmtId="0" fontId="60" fillId="26" borderId="12" xfId="0" applyFont="1" applyFill="1" applyBorder="1" applyAlignment="1" applyProtection="1">
      <alignment horizontal="center" vertical="center"/>
      <protection locked="0"/>
    </xf>
    <xf numFmtId="0" fontId="21" fillId="26" borderId="16" xfId="0" applyFont="1" applyFill="1" applyBorder="1" applyAlignment="1" applyProtection="1">
      <alignment horizontal="center" vertical="center"/>
      <protection locked="0"/>
    </xf>
    <xf numFmtId="0" fontId="21" fillId="26" borderId="17" xfId="0" applyFont="1" applyFill="1" applyBorder="1" applyAlignment="1" applyProtection="1">
      <alignment horizontal="center" vertical="center"/>
      <protection locked="0"/>
    </xf>
    <xf numFmtId="0" fontId="3" fillId="0" borderId="26" xfId="0" applyFont="1" applyBorder="1" applyAlignment="1" applyProtection="1">
      <alignment horizontal="left" vertical="center"/>
      <protection locked="0"/>
    </xf>
    <xf numFmtId="0" fontId="48" fillId="26" borderId="10" xfId="0" applyFont="1" applyFill="1" applyBorder="1" applyAlignment="1" applyProtection="1">
      <alignment horizontal="center" vertical="center"/>
      <protection hidden="1"/>
    </xf>
    <xf numFmtId="0" fontId="48" fillId="26" borderId="15" xfId="0" applyFont="1" applyFill="1" applyBorder="1" applyAlignment="1" applyProtection="1">
      <alignment horizontal="center" vertical="center"/>
      <protection hidden="1"/>
    </xf>
    <xf numFmtId="0" fontId="48" fillId="26" borderId="11" xfId="0" applyFont="1" applyFill="1" applyBorder="1" applyAlignment="1" applyProtection="1">
      <alignment horizontal="center" vertical="center"/>
      <protection hidden="1"/>
    </xf>
    <xf numFmtId="0" fontId="48" fillId="26" borderId="16" xfId="0" applyFont="1" applyFill="1" applyBorder="1" applyAlignment="1" applyProtection="1">
      <alignment horizontal="center" vertical="center"/>
      <protection hidden="1"/>
    </xf>
    <xf numFmtId="0" fontId="0" fillId="0" borderId="0" xfId="0" applyBorder="1" applyAlignment="1" applyProtection="1">
      <alignment horizontal="center"/>
      <protection hidden="1"/>
    </xf>
    <xf numFmtId="0" fontId="0" fillId="28" borderId="0" xfId="0" applyFill="1" applyAlignment="1" applyProtection="1">
      <alignment horizontal="center"/>
      <protection hidden="1"/>
    </xf>
    <xf numFmtId="0" fontId="68" fillId="16" borderId="11" xfId="0" applyFont="1" applyFill="1" applyBorder="1" applyAlignment="1" applyProtection="1">
      <alignment horizontal="center" vertical="center"/>
      <protection hidden="1"/>
    </xf>
    <xf numFmtId="0" fontId="135" fillId="16" borderId="11" xfId="0" applyFont="1" applyFill="1" applyBorder="1" applyAlignment="1" applyProtection="1">
      <alignment horizontal="center" vertical="center" wrapText="1"/>
      <protection hidden="1"/>
    </xf>
    <xf numFmtId="0" fontId="135" fillId="16" borderId="9" xfId="0" applyFont="1" applyFill="1" applyBorder="1" applyAlignment="1" applyProtection="1">
      <alignment horizontal="center" vertical="center" wrapText="1"/>
      <protection hidden="1"/>
    </xf>
    <xf numFmtId="0" fontId="68" fillId="16" borderId="12" xfId="0" applyFont="1" applyFill="1" applyBorder="1" applyAlignment="1" applyProtection="1">
      <alignment horizontal="center" vertical="center"/>
      <protection hidden="1"/>
    </xf>
    <xf numFmtId="0" fontId="68" fillId="16" borderId="14" xfId="0" applyFont="1" applyFill="1" applyBorder="1" applyAlignment="1" applyProtection="1">
      <alignment horizontal="center" vertical="center"/>
      <protection hidden="1"/>
    </xf>
    <xf numFmtId="0" fontId="5" fillId="0" borderId="0" xfId="0" applyFont="1" applyBorder="1" applyAlignment="1" applyProtection="1">
      <alignment horizontal="center"/>
      <protection hidden="1"/>
    </xf>
    <xf numFmtId="0" fontId="116" fillId="16" borderId="10" xfId="0" applyFont="1" applyFill="1" applyBorder="1" applyAlignment="1" applyProtection="1">
      <alignment horizontal="center" vertical="center"/>
      <protection hidden="1"/>
    </xf>
    <xf numFmtId="0" fontId="116" fillId="16" borderId="13" xfId="0" applyFont="1" applyFill="1" applyBorder="1" applyAlignment="1" applyProtection="1">
      <alignment horizontal="center" vertical="center"/>
      <protection hidden="1"/>
    </xf>
    <xf numFmtId="0" fontId="3" fillId="28" borderId="30" xfId="0" applyFont="1" applyFill="1" applyBorder="1" applyAlignment="1" applyProtection="1">
      <alignment horizontal="center"/>
      <protection hidden="1"/>
    </xf>
    <xf numFmtId="0" fontId="59" fillId="32" borderId="44" xfId="0" applyFont="1" applyFill="1" applyBorder="1" applyAlignment="1" applyProtection="1">
      <alignment horizontal="center" vertical="center" wrapText="1"/>
      <protection hidden="1"/>
    </xf>
    <xf numFmtId="0" fontId="59" fillId="32" borderId="65" xfId="0" applyFont="1" applyFill="1" applyBorder="1" applyAlignment="1" applyProtection="1">
      <alignment horizontal="center" vertical="center" wrapText="1"/>
      <protection hidden="1"/>
    </xf>
    <xf numFmtId="1" fontId="59" fillId="32" borderId="73" xfId="0" applyNumberFormat="1" applyFont="1" applyFill="1" applyBorder="1" applyAlignment="1" applyProtection="1">
      <alignment horizontal="center" vertical="center"/>
      <protection hidden="1"/>
    </xf>
    <xf numFmtId="0" fontId="59" fillId="32" borderId="83" xfId="0" applyFont="1" applyFill="1" applyBorder="1" applyAlignment="1" applyProtection="1">
      <alignment horizontal="center" vertical="center"/>
      <protection hidden="1"/>
    </xf>
    <xf numFmtId="0" fontId="59" fillId="32" borderId="59" xfId="0" applyFont="1" applyFill="1" applyBorder="1" applyAlignment="1" applyProtection="1">
      <alignment horizontal="center" vertical="center"/>
      <protection hidden="1"/>
    </xf>
    <xf numFmtId="0" fontId="59" fillId="32" borderId="82" xfId="0" applyFont="1" applyFill="1" applyBorder="1" applyAlignment="1" applyProtection="1">
      <alignment horizontal="center" vertical="center"/>
      <protection hidden="1"/>
    </xf>
    <xf numFmtId="172" fontId="59" fillId="32" borderId="73" xfId="0" applyNumberFormat="1" applyFont="1" applyFill="1" applyBorder="1" applyAlignment="1" applyProtection="1">
      <alignment horizontal="center" vertical="center"/>
      <protection hidden="1"/>
    </xf>
    <xf numFmtId="172" fontId="59" fillId="32" borderId="34" xfId="0" applyNumberFormat="1" applyFont="1" applyFill="1" applyBorder="1" applyAlignment="1" applyProtection="1">
      <alignment horizontal="center" vertical="center"/>
      <protection hidden="1"/>
    </xf>
    <xf numFmtId="172" fontId="59" fillId="32" borderId="59" xfId="0" applyNumberFormat="1" applyFont="1" applyFill="1" applyBorder="1" applyAlignment="1" applyProtection="1">
      <alignment horizontal="center" vertical="center"/>
      <protection hidden="1"/>
    </xf>
    <xf numFmtId="172" fontId="59" fillId="32" borderId="78" xfId="0" applyNumberFormat="1" applyFont="1" applyFill="1" applyBorder="1" applyAlignment="1" applyProtection="1">
      <alignment horizontal="center" vertical="center"/>
      <protection hidden="1"/>
    </xf>
    <xf numFmtId="2" fontId="120" fillId="32" borderId="45" xfId="0" applyNumberFormat="1" applyFont="1" applyFill="1" applyBorder="1" applyAlignment="1" applyProtection="1">
      <alignment horizontal="center" vertical="center"/>
      <protection hidden="1"/>
    </xf>
    <xf numFmtId="2" fontId="120" fillId="32" borderId="58" xfId="0" applyNumberFormat="1" applyFont="1" applyFill="1" applyBorder="1" applyAlignment="1" applyProtection="1">
      <alignment horizontal="center" vertical="center"/>
      <protection hidden="1"/>
    </xf>
    <xf numFmtId="1" fontId="59" fillId="32" borderId="45" xfId="0" applyNumberFormat="1" applyFont="1" applyFill="1" applyBorder="1" applyAlignment="1" applyProtection="1">
      <alignment horizontal="center" vertical="center"/>
      <protection hidden="1"/>
    </xf>
    <xf numFmtId="0" fontId="59" fillId="32" borderId="58" xfId="0" applyFont="1" applyFill="1" applyBorder="1" applyAlignment="1" applyProtection="1">
      <alignment horizontal="center" vertical="center"/>
      <protection hidden="1"/>
    </xf>
    <xf numFmtId="0" fontId="3" fillId="0" borderId="10" xfId="0" applyFont="1" applyBorder="1" applyAlignment="1" applyProtection="1">
      <alignment horizontal="left" indent="47"/>
      <protection hidden="1"/>
    </xf>
    <xf numFmtId="0" fontId="3" fillId="0" borderId="11" xfId="0" applyFont="1" applyBorder="1" applyAlignment="1" applyProtection="1">
      <alignment horizontal="left" indent="47"/>
      <protection hidden="1"/>
    </xf>
    <xf numFmtId="0" fontId="3" fillId="0" borderId="12" xfId="0" applyFont="1" applyBorder="1" applyAlignment="1" applyProtection="1">
      <alignment horizontal="left" indent="47"/>
      <protection hidden="1"/>
    </xf>
    <xf numFmtId="0" fontId="3" fillId="0" borderId="13" xfId="0" applyFont="1" applyBorder="1" applyAlignment="1" applyProtection="1">
      <alignment horizontal="left" indent="47"/>
      <protection hidden="1"/>
    </xf>
    <xf numFmtId="0" fontId="3" fillId="0" borderId="9" xfId="0" applyFont="1" applyBorder="1" applyAlignment="1" applyProtection="1">
      <alignment horizontal="left" indent="47"/>
      <protection hidden="1"/>
    </xf>
    <xf numFmtId="0" fontId="3" fillId="0" borderId="14" xfId="0" applyFont="1" applyBorder="1" applyAlignment="1" applyProtection="1">
      <alignment horizontal="left" indent="47"/>
      <protection hidden="1"/>
    </xf>
    <xf numFmtId="0" fontId="3" fillId="0" borderId="15" xfId="0" applyFont="1" applyBorder="1" applyAlignment="1" applyProtection="1">
      <alignment horizontal="left" indent="47"/>
      <protection hidden="1"/>
    </xf>
    <xf numFmtId="0" fontId="3" fillId="0" borderId="16" xfId="0" applyFont="1" applyBorder="1" applyAlignment="1" applyProtection="1">
      <alignment horizontal="left" indent="47"/>
      <protection hidden="1"/>
    </xf>
    <xf numFmtId="0" fontId="3" fillId="0" borderId="17" xfId="0" applyFont="1" applyBorder="1" applyAlignment="1" applyProtection="1">
      <alignment horizontal="left" indent="47"/>
      <protection hidden="1"/>
    </xf>
    <xf numFmtId="0" fontId="3" fillId="0" borderId="30" xfId="0" applyFont="1" applyBorder="1" applyAlignment="1" applyProtection="1">
      <alignment horizontal="center"/>
      <protection hidden="1"/>
    </xf>
    <xf numFmtId="0" fontId="137" fillId="0" borderId="0" xfId="0" applyFont="1" applyAlignment="1" applyProtection="1">
      <alignment horizontal="center"/>
      <protection hidden="1"/>
    </xf>
    <xf numFmtId="172" fontId="119" fillId="16" borderId="9" xfId="0" applyNumberFormat="1" applyFont="1" applyFill="1" applyBorder="1" applyAlignment="1" applyProtection="1">
      <alignment horizontal="center" vertical="center"/>
      <protection hidden="1"/>
    </xf>
    <xf numFmtId="172" fontId="119" fillId="16" borderId="14" xfId="0" applyNumberFormat="1" applyFont="1" applyFill="1" applyBorder="1" applyAlignment="1" applyProtection="1">
      <alignment horizontal="center" vertical="center"/>
      <protection hidden="1"/>
    </xf>
    <xf numFmtId="0" fontId="3" fillId="28" borderId="77" xfId="0" applyFont="1" applyFill="1" applyBorder="1" applyAlignment="1" applyProtection="1">
      <alignment horizontal="center"/>
      <protection hidden="1"/>
    </xf>
    <xf numFmtId="0" fontId="136" fillId="16" borderId="27" xfId="0" applyFont="1" applyFill="1" applyBorder="1" applyAlignment="1" applyProtection="1">
      <alignment horizontal="center" vertical="center" wrapText="1"/>
      <protection hidden="1"/>
    </xf>
    <xf numFmtId="0" fontId="136" fillId="16" borderId="28" xfId="0" applyFont="1" applyFill="1" applyBorder="1" applyAlignment="1" applyProtection="1">
      <alignment horizontal="center" vertical="center" wrapText="1"/>
      <protection hidden="1"/>
    </xf>
    <xf numFmtId="0" fontId="136" fillId="16" borderId="29" xfId="0" applyFont="1" applyFill="1" applyBorder="1" applyAlignment="1" applyProtection="1">
      <alignment horizontal="center" vertical="center" wrapText="1"/>
      <protection hidden="1"/>
    </xf>
    <xf numFmtId="0" fontId="136" fillId="16" borderId="72" xfId="0" applyFont="1" applyFill="1" applyBorder="1" applyAlignment="1" applyProtection="1">
      <alignment horizontal="center" vertical="center" wrapText="1"/>
      <protection hidden="1"/>
    </xf>
    <xf numFmtId="0" fontId="136" fillId="16" borderId="0" xfId="0" applyFont="1" applyFill="1" applyBorder="1" applyAlignment="1" applyProtection="1">
      <alignment horizontal="center" vertical="center" wrapText="1"/>
      <protection hidden="1"/>
    </xf>
    <xf numFmtId="0" fontId="136" fillId="16" borderId="75" xfId="0" applyFont="1" applyFill="1" applyBorder="1" applyAlignment="1" applyProtection="1">
      <alignment horizontal="center" vertical="center" wrapText="1"/>
      <protection hidden="1"/>
    </xf>
    <xf numFmtId="172" fontId="56" fillId="6" borderId="22" xfId="0" applyNumberFormat="1" applyFont="1" applyFill="1" applyBorder="1" applyAlignment="1" applyProtection="1">
      <alignment horizontal="center" vertical="center"/>
      <protection locked="0" hidden="1"/>
    </xf>
    <xf numFmtId="172" fontId="56" fillId="6" borderId="19" xfId="0" applyNumberFormat="1" applyFont="1" applyFill="1" applyBorder="1" applyAlignment="1" applyProtection="1">
      <alignment horizontal="center" vertical="center"/>
      <protection locked="0" hidden="1"/>
    </xf>
    <xf numFmtId="172" fontId="56" fillId="20" borderId="23" xfId="0" applyNumberFormat="1" applyFont="1" applyFill="1" applyBorder="1" applyAlignment="1" applyProtection="1">
      <alignment horizontal="center" vertical="center"/>
      <protection locked="0" hidden="1"/>
    </xf>
    <xf numFmtId="172" fontId="56" fillId="20" borderId="20" xfId="0" applyNumberFormat="1" applyFont="1" applyFill="1" applyBorder="1" applyAlignment="1" applyProtection="1">
      <alignment horizontal="center" vertical="center"/>
      <protection locked="0" hidden="1"/>
    </xf>
    <xf numFmtId="0" fontId="83" fillId="4" borderId="21" xfId="0" applyFont="1" applyFill="1" applyBorder="1" applyAlignment="1" applyProtection="1">
      <alignment horizontal="center" vertical="center"/>
      <protection hidden="1"/>
    </xf>
    <xf numFmtId="0" fontId="83" fillId="4" borderId="18" xfId="0" applyFont="1" applyFill="1" applyBorder="1" applyAlignment="1" applyProtection="1">
      <alignment horizontal="center" vertical="center"/>
      <protection hidden="1"/>
    </xf>
    <xf numFmtId="0" fontId="54" fillId="4" borderId="51" xfId="0" applyFont="1" applyFill="1" applyBorder="1" applyAlignment="1" applyProtection="1">
      <alignment horizontal="center" wrapText="1"/>
      <protection hidden="1"/>
    </xf>
    <xf numFmtId="0" fontId="30" fillId="4" borderId="16" xfId="0" applyFont="1" applyFill="1" applyBorder="1" applyAlignment="1" applyProtection="1">
      <alignment horizontal="center" vertical="center" wrapText="1"/>
      <protection hidden="1"/>
    </xf>
    <xf numFmtId="0" fontId="30" fillId="4" borderId="45" xfId="0" applyFont="1" applyFill="1" applyBorder="1" applyAlignment="1" applyProtection="1">
      <alignment horizontal="center" vertical="center" wrapText="1"/>
      <protection hidden="1"/>
    </xf>
    <xf numFmtId="0" fontId="30" fillId="4" borderId="43" xfId="0" applyFont="1" applyFill="1" applyBorder="1" applyAlignment="1" applyProtection="1">
      <alignment horizontal="center" vertical="center" wrapText="1"/>
      <protection hidden="1"/>
    </xf>
    <xf numFmtId="0" fontId="30" fillId="4" borderId="58" xfId="0" applyFont="1" applyFill="1" applyBorder="1" applyAlignment="1" applyProtection="1">
      <alignment horizontal="center" vertical="center" wrapText="1"/>
      <protection hidden="1"/>
    </xf>
    <xf numFmtId="0" fontId="32" fillId="4" borderId="45" xfId="0" applyFont="1" applyFill="1" applyBorder="1" applyAlignment="1" applyProtection="1">
      <alignment horizontal="center" vertical="center" wrapText="1"/>
      <protection hidden="1"/>
    </xf>
    <xf numFmtId="0" fontId="32" fillId="4" borderId="43" xfId="0" applyFont="1" applyFill="1" applyBorder="1" applyAlignment="1" applyProtection="1">
      <alignment horizontal="center" vertical="center" wrapText="1"/>
      <protection hidden="1"/>
    </xf>
    <xf numFmtId="0" fontId="32" fillId="4" borderId="58" xfId="0" applyFont="1" applyFill="1" applyBorder="1" applyAlignment="1" applyProtection="1">
      <alignment horizontal="center" vertical="center" wrapText="1"/>
      <protection hidden="1"/>
    </xf>
  </cellXfs>
  <cellStyles count="2">
    <cellStyle name="Hyperlink" xfId="1" builtinId="8"/>
    <cellStyle name="Normal" xfId="0" builtinId="0"/>
  </cellStyles>
  <dxfs count="31">
    <dxf>
      <font>
        <color theme="0"/>
      </font>
    </dxf>
    <dxf>
      <font>
        <color theme="9" tint="0.79998168889431442"/>
      </font>
      <fill>
        <patternFill>
          <bgColor theme="9" tint="0.79998168889431442"/>
        </patternFill>
      </fill>
    </dxf>
    <dxf>
      <font>
        <color theme="0"/>
      </font>
      <fill>
        <patternFill>
          <bgColor theme="0"/>
        </patternFill>
      </fill>
      <border>
        <vertical/>
        <horizontal/>
      </border>
    </dxf>
    <dxf>
      <font>
        <color theme="0"/>
      </font>
    </dxf>
    <dxf>
      <font>
        <color theme="0"/>
      </font>
    </dxf>
    <dxf>
      <font>
        <color theme="0"/>
      </font>
      <fill>
        <patternFill>
          <bgColor theme="0"/>
        </patternFill>
      </fill>
      <border>
        <vertical/>
        <horizontal/>
      </border>
    </dxf>
    <dxf>
      <font>
        <color theme="9" tint="0.79998168889431442"/>
      </font>
      <fill>
        <patternFill>
          <bgColor theme="9" tint="0.79998168889431442"/>
        </patternFill>
      </fill>
    </dxf>
    <dxf>
      <font>
        <color theme="0"/>
      </font>
      <fill>
        <patternFill>
          <bgColor theme="0"/>
        </patternFill>
      </fill>
    </dxf>
    <dxf>
      <font>
        <color theme="9" tint="0.79998168889431442"/>
      </font>
      <fill>
        <patternFill>
          <bgColor theme="9" tint="0.79998168889431442"/>
        </patternFill>
      </fill>
    </dxf>
    <dxf>
      <font>
        <color theme="0"/>
      </font>
      <fill>
        <patternFill>
          <bgColor theme="9" tint="-0.24994659260841701"/>
        </patternFill>
      </fill>
    </dxf>
    <dxf>
      <font>
        <color theme="0"/>
      </font>
      <fill>
        <patternFill>
          <bgColor theme="0"/>
        </patternFill>
      </fill>
    </dxf>
    <dxf>
      <font>
        <color theme="0"/>
      </font>
      <fill>
        <patternFill>
          <bgColor theme="9" tint="-0.24994659260841701"/>
        </patternFill>
      </fill>
    </dxf>
    <dxf>
      <font>
        <color theme="0"/>
      </font>
      <fill>
        <patternFill>
          <bgColor theme="0"/>
        </patternFill>
      </fill>
    </dxf>
    <dxf>
      <font>
        <color theme="0"/>
      </font>
      <fill>
        <patternFill>
          <bgColor theme="9" tint="-0.24994659260841701"/>
        </patternFill>
      </fill>
    </dxf>
    <dxf>
      <font>
        <color theme="0"/>
      </font>
      <fill>
        <patternFill>
          <bgColor theme="0"/>
        </patternFill>
      </fill>
    </dxf>
    <dxf>
      <font>
        <color theme="0"/>
      </font>
      <fill>
        <patternFill>
          <bgColor theme="0"/>
        </patternFill>
      </fill>
    </dxf>
    <dxf>
      <font>
        <color theme="0" tint="-0.499984740745262"/>
      </font>
      <fill>
        <patternFill>
          <bgColor theme="0" tint="-0.499984740745262"/>
        </patternFill>
      </fill>
    </dxf>
    <dxf>
      <font>
        <color theme="5" tint="0.59996337778862885"/>
      </font>
      <fill>
        <patternFill>
          <bgColor theme="5" tint="0.39994506668294322"/>
        </patternFill>
      </fill>
    </dxf>
    <dxf>
      <font>
        <color theme="0"/>
      </font>
    </dxf>
    <dxf>
      <font>
        <color rgb="FFC00000"/>
      </font>
    </dxf>
    <dxf>
      <font>
        <color theme="9" tint="0.79998168889431442"/>
      </font>
      <fill>
        <patternFill>
          <bgColor rgb="FF7030A0"/>
        </patternFill>
      </fill>
    </dxf>
    <dxf>
      <font>
        <color theme="0"/>
      </font>
    </dxf>
    <dxf>
      <font>
        <color theme="9" tint="0.79998168889431442"/>
      </font>
      <fill>
        <patternFill>
          <bgColor rgb="FF7030A0"/>
        </patternFill>
      </fill>
    </dxf>
    <dxf>
      <font>
        <color theme="9" tint="0.79998168889431442"/>
      </font>
      <fill>
        <patternFill>
          <bgColor rgb="FF7030A0"/>
        </patternFill>
      </fill>
    </dxf>
    <dxf>
      <font>
        <color rgb="FFC00000"/>
      </font>
    </dxf>
    <dxf>
      <font>
        <color theme="9" tint="0.79998168889431442"/>
      </font>
      <fill>
        <patternFill>
          <bgColor rgb="FF7030A0"/>
        </patternFill>
      </fill>
    </dxf>
    <dxf>
      <font>
        <color theme="0"/>
      </font>
    </dxf>
    <dxf>
      <font>
        <color rgb="FFC00000"/>
      </font>
    </dxf>
    <dxf>
      <font>
        <color theme="9" tint="0.79998168889431442"/>
      </font>
      <fill>
        <patternFill>
          <bgColor rgb="FF7030A0"/>
        </patternFill>
      </fill>
    </dxf>
    <dxf>
      <font>
        <color theme="0"/>
      </font>
    </dxf>
    <dxf>
      <font>
        <color theme="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11</xdr:col>
      <xdr:colOff>104776</xdr:colOff>
      <xdr:row>5</xdr:row>
      <xdr:rowOff>9525</xdr:rowOff>
    </xdr:from>
    <xdr:to>
      <xdr:col>11</xdr:col>
      <xdr:colOff>2686050</xdr:colOff>
      <xdr:row>9</xdr:row>
      <xdr:rowOff>304800</xdr:rowOff>
    </xdr:to>
    <xdr:pic>
      <xdr:nvPicPr>
        <xdr:cNvPr id="4" name="Picture 3" descr="IMG_20220427_183058_453.jpg"/>
        <xdr:cNvPicPr>
          <a:picLocks noChangeAspect="1"/>
        </xdr:cNvPicPr>
      </xdr:nvPicPr>
      <xdr:blipFill>
        <a:blip xmlns:r="http://schemas.openxmlformats.org/officeDocument/2006/relationships" r:embed="rId1" cstate="print"/>
        <a:stretch>
          <a:fillRect/>
        </a:stretch>
      </xdr:blipFill>
      <xdr:spPr>
        <a:xfrm>
          <a:off x="8858251" y="1657350"/>
          <a:ext cx="2581274" cy="1457325"/>
        </a:xfrm>
        <a:prstGeom prst="snip2DiagRect">
          <a:avLst/>
        </a:prstGeom>
        <a:solidFill>
          <a:srgbClr val="FFFFFF">
            <a:shade val="85000"/>
          </a:srgbClr>
        </a:solidFill>
        <a:ln w="88900" cap="sq">
          <a:solidFill>
            <a:srgbClr val="FFFFFF"/>
          </a:solidFill>
          <a:miter lim="800000"/>
        </a:ln>
        <a:effectLst>
          <a:outerShdw blurRad="88900" algn="tl" rotWithShape="0">
            <a:srgbClr val="000000">
              <a:alpha val="45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xdr:col>
      <xdr:colOff>0</xdr:colOff>
      <xdr:row>9</xdr:row>
      <xdr:rowOff>19050</xdr:rowOff>
    </xdr:from>
    <xdr:to>
      <xdr:col>5</xdr:col>
      <xdr:colOff>819150</xdr:colOff>
      <xdr:row>12</xdr:row>
      <xdr:rowOff>304800</xdr:rowOff>
    </xdr:to>
    <xdr:pic>
      <xdr:nvPicPr>
        <xdr:cNvPr id="5" name="Picture 4" descr="188_172797105966febef35c6de_dudh.jpg"/>
        <xdr:cNvPicPr>
          <a:picLocks noChangeAspect="1"/>
        </xdr:cNvPicPr>
      </xdr:nvPicPr>
      <xdr:blipFill>
        <a:blip xmlns:r="http://schemas.openxmlformats.org/officeDocument/2006/relationships" r:embed="rId2"/>
        <a:stretch>
          <a:fillRect/>
        </a:stretch>
      </xdr:blipFill>
      <xdr:spPr>
        <a:xfrm>
          <a:off x="219075" y="2828925"/>
          <a:ext cx="3876675" cy="1228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11206</xdr:colOff>
      <xdr:row>26</xdr:row>
      <xdr:rowOff>0</xdr:rowOff>
    </xdr:from>
    <xdr:to>
      <xdr:col>9</xdr:col>
      <xdr:colOff>784412</xdr:colOff>
      <xdr:row>37</xdr:row>
      <xdr:rowOff>324971</xdr:rowOff>
    </xdr:to>
    <xdr:pic>
      <xdr:nvPicPr>
        <xdr:cNvPr id="4" name="Picture 3" descr="188_172797105966febef35c6de_dudh.jpg"/>
        <xdr:cNvPicPr>
          <a:picLocks noChangeAspect="1"/>
        </xdr:cNvPicPr>
      </xdr:nvPicPr>
      <xdr:blipFill>
        <a:blip xmlns:r="http://schemas.openxmlformats.org/officeDocument/2006/relationships" r:embed="rId1"/>
        <a:stretch>
          <a:fillRect/>
        </a:stretch>
      </xdr:blipFill>
      <xdr:spPr>
        <a:xfrm>
          <a:off x="100853" y="7608794"/>
          <a:ext cx="5692588" cy="35298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rQDVHzJ-nV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theme="9" tint="-0.249977111117893"/>
  </sheetPr>
  <dimension ref="A1:M14"/>
  <sheetViews>
    <sheetView showGridLines="0" showRowColHeaders="0" tabSelected="1" workbookViewId="0">
      <selection activeCell="L12" sqref="L12"/>
    </sheetView>
  </sheetViews>
  <sheetFormatPr defaultColWidth="0" defaultRowHeight="15" zeroHeight="1"/>
  <cols>
    <col min="1" max="1" width="3.28515625" style="17" customWidth="1"/>
    <col min="2" max="2" width="6.7109375" style="17" customWidth="1"/>
    <col min="3" max="4" width="12.5703125" style="17" customWidth="1"/>
    <col min="5" max="5" width="14" style="17" customWidth="1"/>
    <col min="6" max="6" width="12.5703125" style="17" customWidth="1"/>
    <col min="7" max="7" width="2.42578125" style="17" customWidth="1"/>
    <col min="8" max="10" width="21.5703125" style="17" customWidth="1"/>
    <col min="11" max="11" width="2.42578125" style="17" customWidth="1"/>
    <col min="12" max="12" width="41.7109375" style="17" customWidth="1"/>
    <col min="13" max="13" width="2.85546875" style="17" customWidth="1"/>
    <col min="14" max="16384" width="9.140625" style="17" hidden="1"/>
  </cols>
  <sheetData>
    <row r="1" spans="1:13" ht="15.75" thickBot="1">
      <c r="A1" s="618"/>
      <c r="B1" s="618"/>
      <c r="C1" s="618"/>
      <c r="D1" s="618"/>
      <c r="E1" s="618"/>
      <c r="F1" s="618"/>
      <c r="G1" s="618"/>
      <c r="H1" s="618"/>
      <c r="I1" s="618"/>
      <c r="J1" s="618"/>
      <c r="K1" s="618"/>
      <c r="L1" s="618"/>
      <c r="M1" s="618"/>
    </row>
    <row r="2" spans="1:13" ht="30" customHeight="1" thickBot="1">
      <c r="A2" s="618"/>
      <c r="B2" s="652" t="s">
        <v>478</v>
      </c>
      <c r="C2" s="653"/>
      <c r="D2" s="653"/>
      <c r="E2" s="653"/>
      <c r="F2" s="653"/>
      <c r="G2" s="653"/>
      <c r="H2" s="653"/>
      <c r="I2" s="653"/>
      <c r="J2" s="654"/>
      <c r="K2" s="618"/>
      <c r="L2" s="39" t="s">
        <v>139</v>
      </c>
      <c r="M2" s="618"/>
    </row>
    <row r="3" spans="1:13" ht="15.75" customHeight="1" thickBot="1">
      <c r="A3" s="618"/>
      <c r="B3" s="619"/>
      <c r="C3" s="619"/>
      <c r="D3" s="619"/>
      <c r="E3" s="619"/>
      <c r="F3" s="619"/>
      <c r="G3" s="619"/>
      <c r="H3" s="619"/>
      <c r="I3" s="619"/>
      <c r="J3" s="619"/>
      <c r="K3" s="618"/>
      <c r="L3" s="623" t="s">
        <v>477</v>
      </c>
      <c r="M3" s="618"/>
    </row>
    <row r="4" spans="1:13" ht="43.5" customHeight="1" thickBot="1">
      <c r="A4" s="618"/>
      <c r="B4" s="649" t="s">
        <v>476</v>
      </c>
      <c r="C4" s="650"/>
      <c r="D4" s="650"/>
      <c r="E4" s="650"/>
      <c r="F4" s="651"/>
      <c r="G4" s="621"/>
      <c r="H4" s="624" t="s">
        <v>249</v>
      </c>
      <c r="I4" s="625"/>
      <c r="J4" s="626"/>
      <c r="K4" s="618"/>
      <c r="L4" s="623"/>
      <c r="M4" s="618"/>
    </row>
    <row r="5" spans="1:13" ht="24.75" customHeight="1">
      <c r="A5" s="618"/>
      <c r="B5" s="221" t="s">
        <v>122</v>
      </c>
      <c r="C5" s="222" t="s">
        <v>250</v>
      </c>
      <c r="D5" s="223" t="s">
        <v>251</v>
      </c>
      <c r="E5" s="223" t="s">
        <v>252</v>
      </c>
      <c r="F5" s="224" t="s">
        <v>253</v>
      </c>
      <c r="G5" s="622"/>
      <c r="H5" s="646" t="s">
        <v>461</v>
      </c>
      <c r="I5" s="647"/>
      <c r="J5" s="648"/>
      <c r="K5" s="618"/>
      <c r="L5" s="623"/>
      <c r="M5" s="618"/>
    </row>
    <row r="6" spans="1:13" ht="24.75" customHeight="1">
      <c r="A6" s="618"/>
      <c r="B6" s="639">
        <v>1</v>
      </c>
      <c r="C6" s="640" t="s">
        <v>254</v>
      </c>
      <c r="D6" s="612">
        <f>'School Info'!C21</f>
        <v>15</v>
      </c>
      <c r="E6" s="613">
        <f>D6*10</f>
        <v>150</v>
      </c>
      <c r="F6" s="614">
        <f>'School Info'!C22</f>
        <v>8.4</v>
      </c>
      <c r="G6" s="622"/>
      <c r="H6" s="643"/>
      <c r="I6" s="644"/>
      <c r="J6" s="645"/>
      <c r="K6" s="618"/>
      <c r="L6" s="46"/>
      <c r="M6" s="618"/>
    </row>
    <row r="7" spans="1:13" ht="24.75" customHeight="1">
      <c r="A7" s="618"/>
      <c r="B7" s="639"/>
      <c r="C7" s="640"/>
      <c r="D7" s="613" t="s">
        <v>459</v>
      </c>
      <c r="E7" s="613" t="s">
        <v>460</v>
      </c>
      <c r="F7" s="615" t="s">
        <v>459</v>
      </c>
      <c r="G7" s="622"/>
      <c r="H7" s="643"/>
      <c r="I7" s="644"/>
      <c r="J7" s="645"/>
      <c r="K7" s="618"/>
      <c r="L7" s="46"/>
      <c r="M7" s="618"/>
    </row>
    <row r="8" spans="1:13" ht="21" customHeight="1">
      <c r="A8" s="618"/>
      <c r="B8" s="639">
        <v>2</v>
      </c>
      <c r="C8" s="640" t="s">
        <v>255</v>
      </c>
      <c r="D8" s="612">
        <f>'School Info'!E21</f>
        <v>20</v>
      </c>
      <c r="E8" s="613">
        <f>D8*10</f>
        <v>200</v>
      </c>
      <c r="F8" s="614">
        <f>'School Info'!E22</f>
        <v>10.199999999999999</v>
      </c>
      <c r="G8" s="622"/>
      <c r="H8" s="643" t="s">
        <v>256</v>
      </c>
      <c r="I8" s="644"/>
      <c r="J8" s="645"/>
      <c r="K8" s="618"/>
      <c r="L8" s="46"/>
      <c r="M8" s="618"/>
    </row>
    <row r="9" spans="1:13" ht="21" customHeight="1" thickBot="1">
      <c r="A9" s="618"/>
      <c r="B9" s="641"/>
      <c r="C9" s="642"/>
      <c r="D9" s="616" t="s">
        <v>459</v>
      </c>
      <c r="E9" s="616" t="s">
        <v>460</v>
      </c>
      <c r="F9" s="617" t="s">
        <v>459</v>
      </c>
      <c r="G9" s="622"/>
      <c r="H9" s="643"/>
      <c r="I9" s="644"/>
      <c r="J9" s="645"/>
      <c r="K9" s="618"/>
      <c r="L9" s="46"/>
      <c r="M9" s="618"/>
    </row>
    <row r="10" spans="1:13" ht="24.75" customHeight="1">
      <c r="A10" s="618"/>
      <c r="B10" s="627"/>
      <c r="C10" s="628"/>
      <c r="D10" s="628"/>
      <c r="E10" s="628"/>
      <c r="F10" s="629"/>
      <c r="G10" s="621"/>
      <c r="H10" s="633" t="s">
        <v>257</v>
      </c>
      <c r="I10" s="634"/>
      <c r="J10" s="635"/>
      <c r="K10" s="618"/>
      <c r="L10" s="46"/>
      <c r="M10" s="618"/>
    </row>
    <row r="11" spans="1:13" ht="24.75" customHeight="1">
      <c r="A11" s="618"/>
      <c r="B11" s="627"/>
      <c r="C11" s="628"/>
      <c r="D11" s="628"/>
      <c r="E11" s="628"/>
      <c r="F11" s="629"/>
      <c r="G11" s="621"/>
      <c r="H11" s="633"/>
      <c r="I11" s="634"/>
      <c r="J11" s="635"/>
      <c r="K11" s="618"/>
      <c r="L11" s="497" t="s">
        <v>472</v>
      </c>
      <c r="M11" s="618"/>
    </row>
    <row r="12" spans="1:13" ht="24.75" customHeight="1">
      <c r="A12" s="618"/>
      <c r="B12" s="627"/>
      <c r="C12" s="628"/>
      <c r="D12" s="628"/>
      <c r="E12" s="628"/>
      <c r="F12" s="629"/>
      <c r="G12" s="621"/>
      <c r="H12" s="633"/>
      <c r="I12" s="634"/>
      <c r="J12" s="635"/>
      <c r="K12" s="618"/>
      <c r="L12" s="498" t="s">
        <v>475</v>
      </c>
      <c r="M12" s="618"/>
    </row>
    <row r="13" spans="1:13" ht="24.75" customHeight="1" thickBot="1">
      <c r="A13" s="618"/>
      <c r="B13" s="630"/>
      <c r="C13" s="631"/>
      <c r="D13" s="631"/>
      <c r="E13" s="631"/>
      <c r="F13" s="632"/>
      <c r="G13" s="621"/>
      <c r="H13" s="636" t="s">
        <v>406</v>
      </c>
      <c r="I13" s="637"/>
      <c r="J13" s="638"/>
      <c r="K13" s="618"/>
      <c r="L13" s="497" t="s">
        <v>473</v>
      </c>
      <c r="M13" s="618"/>
    </row>
    <row r="14" spans="1:13" ht="34.5" customHeight="1">
      <c r="A14" s="618"/>
      <c r="B14" s="620" t="s">
        <v>488</v>
      </c>
      <c r="C14" s="620"/>
      <c r="D14" s="620"/>
      <c r="E14" s="620"/>
      <c r="F14" s="620"/>
      <c r="G14" s="620"/>
      <c r="H14" s="620"/>
      <c r="I14" s="620"/>
      <c r="J14" s="620"/>
      <c r="K14" s="618"/>
      <c r="L14" s="40"/>
      <c r="M14" s="618"/>
    </row>
  </sheetData>
  <sheetProtection password="E8FA" sheet="1" objects="1" scenarios="1" formatCells="0" formatColumns="0" formatRows="0" selectLockedCells="1"/>
  <mergeCells count="20">
    <mergeCell ref="H8:J9"/>
    <mergeCell ref="H5:J7"/>
    <mergeCell ref="B4:F4"/>
    <mergeCell ref="B2:J2"/>
    <mergeCell ref="A1:M1"/>
    <mergeCell ref="A2:A14"/>
    <mergeCell ref="B3:J3"/>
    <mergeCell ref="K2:K14"/>
    <mergeCell ref="B14:J14"/>
    <mergeCell ref="M2:M14"/>
    <mergeCell ref="G4:G13"/>
    <mergeCell ref="L3:L5"/>
    <mergeCell ref="H4:J4"/>
    <mergeCell ref="B10:F13"/>
    <mergeCell ref="H10:J12"/>
    <mergeCell ref="H13:J13"/>
    <mergeCell ref="B6:B7"/>
    <mergeCell ref="C6:C7"/>
    <mergeCell ref="B8:B9"/>
    <mergeCell ref="C8:C9"/>
  </mergeCells>
  <hyperlinks>
    <hyperlink ref="L12" r:id="rId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sheetPr>
    <tabColor theme="0"/>
  </sheetPr>
  <dimension ref="A1:AN75"/>
  <sheetViews>
    <sheetView showGridLines="0" zoomScale="70" zoomScaleNormal="70" workbookViewId="0">
      <selection activeCell="R8" sqref="R8:S8"/>
    </sheetView>
  </sheetViews>
  <sheetFormatPr defaultColWidth="0" defaultRowHeight="15" customHeight="1" zeroHeight="1"/>
  <cols>
    <col min="1" max="1" width="3" style="17" customWidth="1"/>
    <col min="2" max="2" width="3" style="17" hidden="1" customWidth="1"/>
    <col min="3" max="5" width="6.140625" style="33" customWidth="1"/>
    <col min="6" max="7" width="6.7109375" style="33" customWidth="1"/>
    <col min="8" max="9" width="5.85546875" style="33" customWidth="1"/>
    <col min="10" max="10" width="5.28515625" style="33" customWidth="1"/>
    <col min="11" max="12" width="5.85546875" style="33" customWidth="1"/>
    <col min="13" max="13" width="7.140625" style="33" customWidth="1"/>
    <col min="14" max="16" width="5.85546875" style="33" customWidth="1"/>
    <col min="17" max="17" width="6.5703125" style="33" customWidth="1"/>
    <col min="18" max="24" width="7.140625" style="33" customWidth="1"/>
    <col min="25" max="25" width="10.85546875" style="33" customWidth="1"/>
    <col min="26" max="33" width="8.5703125" style="33" customWidth="1"/>
    <col min="34" max="34" width="6.7109375" style="33" customWidth="1"/>
    <col min="35" max="35" width="5.7109375" style="33" customWidth="1"/>
    <col min="36" max="36" width="8.5703125" style="33" customWidth="1"/>
    <col min="37" max="37" width="6.140625" style="33" customWidth="1"/>
    <col min="38" max="38" width="12.5703125" style="17" customWidth="1"/>
    <col min="39" max="39" width="4.140625" style="17" customWidth="1"/>
    <col min="40" max="16384" width="9.140625" style="17" hidden="1"/>
  </cols>
  <sheetData>
    <row r="1" spans="1:40" ht="15.75" thickBot="1">
      <c r="A1" s="763"/>
      <c r="B1" s="763"/>
      <c r="C1" s="763"/>
      <c r="D1" s="763"/>
      <c r="E1" s="763"/>
      <c r="F1" s="763"/>
      <c r="G1" s="763"/>
      <c r="H1" s="763"/>
      <c r="I1" s="763"/>
      <c r="J1" s="763"/>
      <c r="K1" s="763"/>
      <c r="L1" s="763"/>
      <c r="M1" s="763"/>
      <c r="N1" s="763"/>
      <c r="O1" s="763"/>
      <c r="P1" s="763"/>
      <c r="Q1" s="763"/>
      <c r="R1" s="763"/>
      <c r="S1" s="763"/>
      <c r="T1" s="763"/>
      <c r="U1" s="763"/>
      <c r="V1" s="763"/>
      <c r="W1" s="763"/>
      <c r="X1" s="763"/>
      <c r="Y1" s="763"/>
      <c r="Z1" s="763"/>
      <c r="AA1" s="763"/>
      <c r="AB1" s="763"/>
      <c r="AC1" s="763"/>
      <c r="AD1" s="763"/>
      <c r="AE1" s="763"/>
      <c r="AF1" s="763"/>
      <c r="AG1" s="763"/>
      <c r="AH1" s="763"/>
      <c r="AI1" s="763"/>
      <c r="AJ1" s="763"/>
      <c r="AK1" s="763"/>
      <c r="AL1" s="763"/>
      <c r="AM1" s="763"/>
    </row>
    <row r="2" spans="1:40" ht="31.5" customHeight="1" thickBot="1">
      <c r="A2" s="776"/>
      <c r="B2" s="111"/>
      <c r="C2" s="1627" t="s">
        <v>190</v>
      </c>
      <c r="D2" s="1628"/>
      <c r="E2" s="1628"/>
      <c r="F2" s="1628"/>
      <c r="G2" s="1628"/>
      <c r="H2" s="1628"/>
      <c r="I2" s="1628"/>
      <c r="J2" s="1628"/>
      <c r="K2" s="1628"/>
      <c r="L2" s="1628"/>
      <c r="M2" s="1629"/>
      <c r="N2" s="1596" t="s">
        <v>441</v>
      </c>
      <c r="O2" s="1597"/>
      <c r="P2" s="1597"/>
      <c r="Q2" s="1597"/>
      <c r="R2" s="1597"/>
      <c r="S2" s="1597"/>
      <c r="T2" s="1597"/>
      <c r="U2" s="1597"/>
      <c r="V2" s="1597"/>
      <c r="W2" s="1597"/>
      <c r="X2" s="1597"/>
      <c r="Y2" s="1597"/>
      <c r="Z2" s="1597"/>
      <c r="AA2" s="1597"/>
      <c r="AB2" s="1597"/>
      <c r="AC2" s="1597"/>
      <c r="AD2" s="1597"/>
      <c r="AE2" s="1597"/>
      <c r="AF2" s="1598"/>
      <c r="AG2" s="1630" t="s">
        <v>200</v>
      </c>
      <c r="AH2" s="1631"/>
      <c r="AI2" s="1632"/>
      <c r="AJ2" s="1632" t="s">
        <v>128</v>
      </c>
      <c r="AK2" s="1632"/>
      <c r="AL2" s="220" t="s">
        <v>129</v>
      </c>
      <c r="AM2" s="763"/>
    </row>
    <row r="3" spans="1:40" ht="21" thickBot="1">
      <c r="A3" s="776"/>
      <c r="B3" s="111"/>
      <c r="C3" s="1612" t="s">
        <v>191</v>
      </c>
      <c r="D3" s="1614" t="s">
        <v>192</v>
      </c>
      <c r="E3" s="1614" t="s">
        <v>193</v>
      </c>
      <c r="F3" s="1614" t="s">
        <v>194</v>
      </c>
      <c r="G3" s="1614" t="s">
        <v>195</v>
      </c>
      <c r="H3" s="1602" t="s">
        <v>130</v>
      </c>
      <c r="I3" s="1612" t="s">
        <v>196</v>
      </c>
      <c r="J3" s="1614" t="s">
        <v>197</v>
      </c>
      <c r="K3" s="1614" t="s">
        <v>198</v>
      </c>
      <c r="L3" s="1602" t="s">
        <v>130</v>
      </c>
      <c r="M3" s="1604" t="s">
        <v>199</v>
      </c>
      <c r="N3" s="1599" t="s">
        <v>189</v>
      </c>
      <c r="O3" s="1600"/>
      <c r="P3" s="1600"/>
      <c r="Q3" s="1600"/>
      <c r="R3" s="1600"/>
      <c r="S3" s="1600"/>
      <c r="T3" s="1600"/>
      <c r="U3" s="1600"/>
      <c r="V3" s="1600"/>
      <c r="W3" s="1600"/>
      <c r="X3" s="1600"/>
      <c r="Y3" s="1600"/>
      <c r="Z3" s="1600"/>
      <c r="AA3" s="1600"/>
      <c r="AB3" s="1600"/>
      <c r="AC3" s="1600"/>
      <c r="AD3" s="1600"/>
      <c r="AE3" s="1600"/>
      <c r="AF3" s="1601"/>
      <c r="AG3" s="1523" t="s">
        <v>201</v>
      </c>
      <c r="AH3" s="1524"/>
      <c r="AI3" s="1525"/>
      <c r="AJ3" s="1633">
        <f>'Milk Stock &amp; Distri.Register'!AL3</f>
        <v>15</v>
      </c>
      <c r="AK3" s="1634"/>
      <c r="AL3" s="218">
        <f>'Milk Stock &amp; Distri.Register'!AN3</f>
        <v>20</v>
      </c>
      <c r="AM3" s="763"/>
    </row>
    <row r="4" spans="1:40" ht="31.5" thickBot="1">
      <c r="A4" s="776"/>
      <c r="B4" s="111"/>
      <c r="C4" s="1613"/>
      <c r="D4" s="1615"/>
      <c r="E4" s="1615"/>
      <c r="F4" s="1615"/>
      <c r="G4" s="1615"/>
      <c r="H4" s="1603"/>
      <c r="I4" s="1613"/>
      <c r="J4" s="1615"/>
      <c r="K4" s="1615"/>
      <c r="L4" s="1603"/>
      <c r="M4" s="1605"/>
      <c r="N4" s="1606" t="str">
        <f>'Food Stock 1-8'!B2</f>
        <v>Office: Govt. Sr. Sec. School Raimalwada, Bapini (Phalodi)</v>
      </c>
      <c r="O4" s="1607"/>
      <c r="P4" s="1607"/>
      <c r="Q4" s="1607"/>
      <c r="R4" s="1607"/>
      <c r="S4" s="1607"/>
      <c r="T4" s="1607"/>
      <c r="U4" s="1607"/>
      <c r="V4" s="1607"/>
      <c r="W4" s="1607"/>
      <c r="X4" s="1607"/>
      <c r="Y4" s="1607"/>
      <c r="Z4" s="1607"/>
      <c r="AA4" s="1607"/>
      <c r="AB4" s="1607"/>
      <c r="AC4" s="1607"/>
      <c r="AD4" s="1607"/>
      <c r="AE4" s="1607"/>
      <c r="AF4" s="1608"/>
      <c r="AG4" s="1523" t="s">
        <v>202</v>
      </c>
      <c r="AH4" s="1524"/>
      <c r="AI4" s="1525"/>
      <c r="AJ4" s="1641">
        <f ca="1">'Milk Stock &amp; Distri.Register'!AL4</f>
        <v>8</v>
      </c>
      <c r="AK4" s="1642"/>
      <c r="AL4" s="217">
        <f ca="1">'Milk Stock &amp; Distri.Register'!AN4</f>
        <v>12</v>
      </c>
      <c r="AM4" s="763"/>
    </row>
    <row r="5" spans="1:40" ht="29.25" customHeight="1" thickBot="1">
      <c r="A5" s="776"/>
      <c r="B5" s="111"/>
      <c r="C5" s="469">
        <f>'School Info'!P12</f>
        <v>53</v>
      </c>
      <c r="D5" s="470">
        <f>'School Info'!P13</f>
        <v>61</v>
      </c>
      <c r="E5" s="496">
        <f>'School Info'!P14</f>
        <v>69</v>
      </c>
      <c r="F5" s="496">
        <f>'School Info'!P15</f>
        <v>77</v>
      </c>
      <c r="G5" s="496">
        <f>'School Info'!P16</f>
        <v>85</v>
      </c>
      <c r="H5" s="468">
        <f>SUM(C5:G5)</f>
        <v>345</v>
      </c>
      <c r="I5" s="469">
        <f>'School Info'!P19</f>
        <v>93</v>
      </c>
      <c r="J5" s="470">
        <f>'School Info'!P20</f>
        <v>101</v>
      </c>
      <c r="K5" s="470">
        <f>'School Info'!P21</f>
        <v>109</v>
      </c>
      <c r="L5" s="468">
        <f>SUM(I5:K5)</f>
        <v>303</v>
      </c>
      <c r="M5" s="471">
        <f>SUM(L5,H5)</f>
        <v>648</v>
      </c>
      <c r="N5" s="1609" t="str">
        <f>CONCATENATE("Month:-","  ",'School Info'!I6,"-",'School Info'!K6)</f>
        <v>Month:-  November-2025</v>
      </c>
      <c r="O5" s="1610"/>
      <c r="P5" s="1610"/>
      <c r="Q5" s="1610"/>
      <c r="R5" s="1610"/>
      <c r="S5" s="1610"/>
      <c r="T5" s="1610"/>
      <c r="U5" s="1610"/>
      <c r="V5" s="1610"/>
      <c r="W5" s="1610"/>
      <c r="X5" s="1610"/>
      <c r="Y5" s="1610"/>
      <c r="Z5" s="1610"/>
      <c r="AA5" s="1610"/>
      <c r="AB5" s="1610"/>
      <c r="AC5" s="1610"/>
      <c r="AD5" s="1610"/>
      <c r="AE5" s="1610"/>
      <c r="AF5" s="1611"/>
      <c r="AG5" s="1526" t="s">
        <v>203</v>
      </c>
      <c r="AH5" s="1527"/>
      <c r="AI5" s="1528"/>
      <c r="AJ5" s="1643" t="str">
        <f>'Milk Stock &amp; Distri.Register'!AL5</f>
        <v>150 मि.ली.</v>
      </c>
      <c r="AK5" s="1644"/>
      <c r="AL5" s="219" t="str">
        <f>'Milk Stock &amp; Distri.Register'!AN5</f>
        <v>200 मि.ली.</v>
      </c>
      <c r="AM5" s="763"/>
    </row>
    <row r="6" spans="1:40" ht="24" customHeight="1">
      <c r="A6" s="776"/>
      <c r="B6" s="111"/>
      <c r="C6" s="1637" t="s">
        <v>397</v>
      </c>
      <c r="D6" s="1639" t="s">
        <v>123</v>
      </c>
      <c r="E6" s="1639"/>
      <c r="F6" s="1639" t="s">
        <v>51</v>
      </c>
      <c r="G6" s="1639"/>
      <c r="H6" s="1625" t="s">
        <v>131</v>
      </c>
      <c r="I6" s="1625"/>
      <c r="J6" s="1625"/>
      <c r="K6" s="1625"/>
      <c r="L6" s="1625"/>
      <c r="M6" s="1625"/>
      <c r="N6" s="1625"/>
      <c r="O6" s="1625"/>
      <c r="P6" s="1625"/>
      <c r="Q6" s="1625"/>
      <c r="R6" s="1620" t="s">
        <v>132</v>
      </c>
      <c r="S6" s="1620"/>
      <c r="T6" s="1620"/>
      <c r="U6" s="1620"/>
      <c r="V6" s="1620"/>
      <c r="W6" s="1620"/>
      <c r="X6" s="1620"/>
      <c r="Y6" s="1620"/>
      <c r="Z6" s="1635" t="s">
        <v>457</v>
      </c>
      <c r="AA6" s="1635"/>
      <c r="AB6" s="1635"/>
      <c r="AC6" s="1622" t="s">
        <v>133</v>
      </c>
      <c r="AD6" s="1622"/>
      <c r="AE6" s="1622"/>
      <c r="AF6" s="1622"/>
      <c r="AG6" s="1622"/>
      <c r="AH6" s="1616" t="s">
        <v>134</v>
      </c>
      <c r="AI6" s="1616"/>
      <c r="AJ6" s="1616"/>
      <c r="AK6" s="1616" t="s">
        <v>124</v>
      </c>
      <c r="AL6" s="1617"/>
      <c r="AM6" s="763"/>
    </row>
    <row r="7" spans="1:40" s="495" customFormat="1" ht="18" customHeight="1">
      <c r="A7" s="776"/>
      <c r="B7" s="479"/>
      <c r="C7" s="1638"/>
      <c r="D7" s="1640"/>
      <c r="E7" s="1640"/>
      <c r="F7" s="1640"/>
      <c r="G7" s="1640"/>
      <c r="H7" s="1624" t="s">
        <v>128</v>
      </c>
      <c r="I7" s="1624"/>
      <c r="J7" s="1624"/>
      <c r="K7" s="1624" t="s">
        <v>129</v>
      </c>
      <c r="L7" s="1624"/>
      <c r="M7" s="1624"/>
      <c r="N7" s="1626" t="s">
        <v>130</v>
      </c>
      <c r="O7" s="1626"/>
      <c r="P7" s="1626"/>
      <c r="Q7" s="1626"/>
      <c r="R7" s="1621" t="s">
        <v>135</v>
      </c>
      <c r="S7" s="1621"/>
      <c r="T7" s="1621" t="s">
        <v>136</v>
      </c>
      <c r="U7" s="1621"/>
      <c r="V7" s="1621" t="s">
        <v>137</v>
      </c>
      <c r="W7" s="1621"/>
      <c r="X7" s="1621" t="s">
        <v>138</v>
      </c>
      <c r="Y7" s="1621"/>
      <c r="Z7" s="1636"/>
      <c r="AA7" s="1636"/>
      <c r="AB7" s="1636"/>
      <c r="AC7" s="1623"/>
      <c r="AD7" s="1623"/>
      <c r="AE7" s="1623"/>
      <c r="AF7" s="1623"/>
      <c r="AG7" s="1623"/>
      <c r="AH7" s="1618"/>
      <c r="AI7" s="1618"/>
      <c r="AJ7" s="1618"/>
      <c r="AK7" s="1618"/>
      <c r="AL7" s="1619"/>
      <c r="AM7" s="763"/>
    </row>
    <row r="8" spans="1:40" s="37" customFormat="1" ht="26.25" customHeight="1">
      <c r="A8" s="776"/>
      <c r="B8" s="111">
        <f>'MIlk-Data Entry'!K7</f>
        <v>1</v>
      </c>
      <c r="C8" s="494">
        <f>'MIlk-Data Entry'!L7</f>
        <v>1</v>
      </c>
      <c r="D8" s="1592">
        <f>'MIlk-Data Entry'!M7</f>
        <v>45962</v>
      </c>
      <c r="E8" s="1592"/>
      <c r="F8" s="1593" t="str">
        <f>CONCATENATE('MIlk-Data Entry'!N7," ","(",'MIlk-Data Entry'!O7,")")</f>
        <v>Saturday (खुला)</v>
      </c>
      <c r="G8" s="1593"/>
      <c r="H8" s="1594">
        <f>'MIlk-Data Entry'!AH7</f>
        <v>30</v>
      </c>
      <c r="I8" s="1594"/>
      <c r="J8" s="1594"/>
      <c r="K8" s="1594">
        <f>'MIlk-Data Entry'!AL7</f>
        <v>12</v>
      </c>
      <c r="L8" s="1594"/>
      <c r="M8" s="1594"/>
      <c r="N8" s="1595">
        <f>SUM(H8:M8)</f>
        <v>42</v>
      </c>
      <c r="O8" s="1595"/>
      <c r="P8" s="1595"/>
      <c r="Q8" s="1595"/>
      <c r="R8" s="1588"/>
      <c r="S8" s="1588"/>
      <c r="T8" s="1588"/>
      <c r="U8" s="1588"/>
      <c r="V8" s="1588"/>
      <c r="W8" s="1588"/>
      <c r="X8" s="1588"/>
      <c r="Y8" s="1588"/>
      <c r="Z8" s="1589"/>
      <c r="AA8" s="1589"/>
      <c r="AB8" s="1589"/>
      <c r="AC8" s="1590"/>
      <c r="AD8" s="1590"/>
      <c r="AE8" s="1590"/>
      <c r="AF8" s="1590"/>
      <c r="AG8" s="1590"/>
      <c r="AH8" s="1590"/>
      <c r="AI8" s="1590"/>
      <c r="AJ8" s="1590"/>
      <c r="AK8" s="1591"/>
      <c r="AL8" s="1591"/>
      <c r="AM8" s="763"/>
      <c r="AN8" s="36">
        <f>P8+Q8+AF8+AG8</f>
        <v>0</v>
      </c>
    </row>
    <row r="9" spans="1:40" s="37" customFormat="1" ht="26.25" customHeight="1">
      <c r="A9" s="776"/>
      <c r="B9" s="467">
        <f>'MIlk-Data Entry'!K8</f>
        <v>0</v>
      </c>
      <c r="C9" s="494">
        <f>'MIlk-Data Entry'!L8</f>
        <v>2</v>
      </c>
      <c r="D9" s="1592">
        <f>'MIlk-Data Entry'!M8</f>
        <v>45963</v>
      </c>
      <c r="E9" s="1592"/>
      <c r="F9" s="1593" t="str">
        <f>CONCATENATE('MIlk-Data Entry'!N8," ","(",'MIlk-Data Entry'!O8,")")</f>
        <v>Sunday (रवि॰अव॰)</v>
      </c>
      <c r="G9" s="1593"/>
      <c r="H9" s="1594">
        <f>'MIlk-Data Entry'!AH8</f>
        <v>0</v>
      </c>
      <c r="I9" s="1594"/>
      <c r="J9" s="1594"/>
      <c r="K9" s="1594">
        <f>'MIlk-Data Entry'!AL8</f>
        <v>0</v>
      </c>
      <c r="L9" s="1594"/>
      <c r="M9" s="1594"/>
      <c r="N9" s="1595">
        <f t="shared" ref="N9:N12" si="0">SUM(H9:M9)</f>
        <v>0</v>
      </c>
      <c r="O9" s="1595"/>
      <c r="P9" s="1595"/>
      <c r="Q9" s="1595"/>
      <c r="R9" s="1588"/>
      <c r="S9" s="1588"/>
      <c r="T9" s="1588"/>
      <c r="U9" s="1588"/>
      <c r="V9" s="1588"/>
      <c r="W9" s="1588"/>
      <c r="X9" s="1588"/>
      <c r="Y9" s="1588"/>
      <c r="Z9" s="1589"/>
      <c r="AA9" s="1589"/>
      <c r="AB9" s="1589"/>
      <c r="AC9" s="1590"/>
      <c r="AD9" s="1590"/>
      <c r="AE9" s="1590"/>
      <c r="AF9" s="1590"/>
      <c r="AG9" s="1590"/>
      <c r="AH9" s="1590"/>
      <c r="AI9" s="1590"/>
      <c r="AJ9" s="1590"/>
      <c r="AK9" s="1591"/>
      <c r="AL9" s="1591"/>
      <c r="AM9" s="763"/>
      <c r="AN9" s="36">
        <f t="shared" ref="AN9:AN38" si="1">P9+Q9+AF9+AG9</f>
        <v>0</v>
      </c>
    </row>
    <row r="10" spans="1:40" s="37" customFormat="1" ht="26.25" customHeight="1">
      <c r="A10" s="776"/>
      <c r="B10" s="467">
        <f>'MIlk-Data Entry'!K9</f>
        <v>0</v>
      </c>
      <c r="C10" s="494">
        <f>'MIlk-Data Entry'!L9</f>
        <v>3</v>
      </c>
      <c r="D10" s="1592">
        <f>'MIlk-Data Entry'!M9</f>
        <v>45964</v>
      </c>
      <c r="E10" s="1592"/>
      <c r="F10" s="1593" t="str">
        <f>CONCATENATE('MIlk-Data Entry'!N9," ","(",'MIlk-Data Entry'!O9,")")</f>
        <v>Monday (खुला)</v>
      </c>
      <c r="G10" s="1593"/>
      <c r="H10" s="1594">
        <f>'MIlk-Data Entry'!AH9</f>
        <v>0</v>
      </c>
      <c r="I10" s="1594"/>
      <c r="J10" s="1594"/>
      <c r="K10" s="1594">
        <f>'MIlk-Data Entry'!AL9</f>
        <v>0</v>
      </c>
      <c r="L10" s="1594"/>
      <c r="M10" s="1594"/>
      <c r="N10" s="1595">
        <f t="shared" si="0"/>
        <v>0</v>
      </c>
      <c r="O10" s="1595"/>
      <c r="P10" s="1595"/>
      <c r="Q10" s="1595"/>
      <c r="R10" s="1588"/>
      <c r="S10" s="1588"/>
      <c r="T10" s="1588"/>
      <c r="U10" s="1588"/>
      <c r="V10" s="1588"/>
      <c r="W10" s="1588"/>
      <c r="X10" s="1588"/>
      <c r="Y10" s="1588"/>
      <c r="Z10" s="1589"/>
      <c r="AA10" s="1589"/>
      <c r="AB10" s="1589"/>
      <c r="AC10" s="1590"/>
      <c r="AD10" s="1590"/>
      <c r="AE10" s="1590"/>
      <c r="AF10" s="1590"/>
      <c r="AG10" s="1590"/>
      <c r="AH10" s="1590"/>
      <c r="AI10" s="1590"/>
      <c r="AJ10" s="1590"/>
      <c r="AK10" s="1591"/>
      <c r="AL10" s="1591"/>
      <c r="AM10" s="763"/>
      <c r="AN10" s="36">
        <f t="shared" si="1"/>
        <v>0</v>
      </c>
    </row>
    <row r="11" spans="1:40" s="37" customFormat="1" ht="26.25" customHeight="1">
      <c r="A11" s="776"/>
      <c r="B11" s="467">
        <f>'MIlk-Data Entry'!K10</f>
        <v>0</v>
      </c>
      <c r="C11" s="494">
        <f>'MIlk-Data Entry'!L10</f>
        <v>4</v>
      </c>
      <c r="D11" s="1592">
        <f>'MIlk-Data Entry'!M10</f>
        <v>45965</v>
      </c>
      <c r="E11" s="1592"/>
      <c r="F11" s="1593" t="str">
        <f>CONCATENATE('MIlk-Data Entry'!N10," ","(",'MIlk-Data Entry'!O10,")")</f>
        <v>Tuesday (खुला)</v>
      </c>
      <c r="G11" s="1593"/>
      <c r="H11" s="1594">
        <f>'MIlk-Data Entry'!AH10</f>
        <v>0</v>
      </c>
      <c r="I11" s="1594"/>
      <c r="J11" s="1594"/>
      <c r="K11" s="1594">
        <f>'MIlk-Data Entry'!AL10</f>
        <v>0</v>
      </c>
      <c r="L11" s="1594"/>
      <c r="M11" s="1594"/>
      <c r="N11" s="1595">
        <f t="shared" si="0"/>
        <v>0</v>
      </c>
      <c r="O11" s="1595"/>
      <c r="P11" s="1595"/>
      <c r="Q11" s="1595"/>
      <c r="R11" s="1588"/>
      <c r="S11" s="1588"/>
      <c r="T11" s="1588"/>
      <c r="U11" s="1588"/>
      <c r="V11" s="1588"/>
      <c r="W11" s="1588"/>
      <c r="X11" s="1588"/>
      <c r="Y11" s="1588"/>
      <c r="Z11" s="1589"/>
      <c r="AA11" s="1589"/>
      <c r="AB11" s="1589"/>
      <c r="AC11" s="1590"/>
      <c r="AD11" s="1590"/>
      <c r="AE11" s="1590"/>
      <c r="AF11" s="1590"/>
      <c r="AG11" s="1590"/>
      <c r="AH11" s="1590"/>
      <c r="AI11" s="1590"/>
      <c r="AJ11" s="1590"/>
      <c r="AK11" s="1591"/>
      <c r="AL11" s="1591"/>
      <c r="AM11" s="763"/>
      <c r="AN11" s="36">
        <f t="shared" si="1"/>
        <v>0</v>
      </c>
    </row>
    <row r="12" spans="1:40" s="37" customFormat="1" ht="26.25" customHeight="1">
      <c r="A12" s="776"/>
      <c r="B12" s="467">
        <f>'MIlk-Data Entry'!K11</f>
        <v>0</v>
      </c>
      <c r="C12" s="494">
        <f>'MIlk-Data Entry'!L11</f>
        <v>5</v>
      </c>
      <c r="D12" s="1592">
        <f>'MIlk-Data Entry'!M11</f>
        <v>45966</v>
      </c>
      <c r="E12" s="1592"/>
      <c r="F12" s="1593" t="str">
        <f>CONCATENATE('MIlk-Data Entry'!N11," ","(",'MIlk-Data Entry'!O11,")")</f>
        <v>Wednesday (खुला)</v>
      </c>
      <c r="G12" s="1593"/>
      <c r="H12" s="1594">
        <f>'MIlk-Data Entry'!AH11</f>
        <v>0</v>
      </c>
      <c r="I12" s="1594"/>
      <c r="J12" s="1594"/>
      <c r="K12" s="1594">
        <f>'MIlk-Data Entry'!AL11</f>
        <v>0</v>
      </c>
      <c r="L12" s="1594"/>
      <c r="M12" s="1594"/>
      <c r="N12" s="1595">
        <f t="shared" si="0"/>
        <v>0</v>
      </c>
      <c r="O12" s="1595"/>
      <c r="P12" s="1595"/>
      <c r="Q12" s="1595"/>
      <c r="R12" s="1588"/>
      <c r="S12" s="1588"/>
      <c r="T12" s="1588"/>
      <c r="U12" s="1588"/>
      <c r="V12" s="1588"/>
      <c r="W12" s="1588"/>
      <c r="X12" s="1588"/>
      <c r="Y12" s="1588"/>
      <c r="Z12" s="1589"/>
      <c r="AA12" s="1589"/>
      <c r="AB12" s="1589"/>
      <c r="AC12" s="1590"/>
      <c r="AD12" s="1590"/>
      <c r="AE12" s="1590"/>
      <c r="AF12" s="1590"/>
      <c r="AG12" s="1590"/>
      <c r="AH12" s="1590"/>
      <c r="AI12" s="1590"/>
      <c r="AJ12" s="1590"/>
      <c r="AK12" s="1591"/>
      <c r="AL12" s="1591"/>
      <c r="AM12" s="763"/>
      <c r="AN12" s="36">
        <f t="shared" si="1"/>
        <v>0</v>
      </c>
    </row>
    <row r="13" spans="1:40" s="37" customFormat="1" ht="26.25" customHeight="1">
      <c r="A13" s="776"/>
      <c r="B13" s="467">
        <f>'MIlk-Data Entry'!K12</f>
        <v>0</v>
      </c>
      <c r="C13" s="494">
        <f>'MIlk-Data Entry'!L12</f>
        <v>6</v>
      </c>
      <c r="D13" s="1592">
        <f>'MIlk-Data Entry'!M12</f>
        <v>45967</v>
      </c>
      <c r="E13" s="1592"/>
      <c r="F13" s="1593" t="str">
        <f>CONCATENATE('MIlk-Data Entry'!N12," ","(",'MIlk-Data Entry'!O12,")")</f>
        <v>Thursday (खुला)</v>
      </c>
      <c r="G13" s="1593"/>
      <c r="H13" s="1594">
        <f>'MIlk-Data Entry'!AH12</f>
        <v>0</v>
      </c>
      <c r="I13" s="1594"/>
      <c r="J13" s="1594"/>
      <c r="K13" s="1594">
        <f>'MIlk-Data Entry'!AL12</f>
        <v>0</v>
      </c>
      <c r="L13" s="1594"/>
      <c r="M13" s="1594"/>
      <c r="N13" s="1595">
        <f t="shared" ref="N13:N20" si="2">SUM(H13:M13)</f>
        <v>0</v>
      </c>
      <c r="O13" s="1595"/>
      <c r="P13" s="1595"/>
      <c r="Q13" s="1595"/>
      <c r="R13" s="1588"/>
      <c r="S13" s="1588"/>
      <c r="T13" s="1588"/>
      <c r="U13" s="1588"/>
      <c r="V13" s="1588"/>
      <c r="W13" s="1588"/>
      <c r="X13" s="1588"/>
      <c r="Y13" s="1588"/>
      <c r="Z13" s="1589"/>
      <c r="AA13" s="1589"/>
      <c r="AB13" s="1589"/>
      <c r="AC13" s="1590"/>
      <c r="AD13" s="1590"/>
      <c r="AE13" s="1590"/>
      <c r="AF13" s="1590"/>
      <c r="AG13" s="1590"/>
      <c r="AH13" s="1590"/>
      <c r="AI13" s="1590"/>
      <c r="AJ13" s="1590"/>
      <c r="AK13" s="1591"/>
      <c r="AL13" s="1591"/>
      <c r="AM13" s="763"/>
      <c r="AN13" s="36">
        <f t="shared" si="1"/>
        <v>0</v>
      </c>
    </row>
    <row r="14" spans="1:40" s="37" customFormat="1" ht="26.25" customHeight="1">
      <c r="A14" s="776"/>
      <c r="B14" s="467">
        <f>'MIlk-Data Entry'!K13</f>
        <v>0</v>
      </c>
      <c r="C14" s="494">
        <f>'MIlk-Data Entry'!L13</f>
        <v>7</v>
      </c>
      <c r="D14" s="1592">
        <f>'MIlk-Data Entry'!M13</f>
        <v>45968</v>
      </c>
      <c r="E14" s="1592"/>
      <c r="F14" s="1593" t="str">
        <f>CONCATENATE('MIlk-Data Entry'!N13," ","(",'MIlk-Data Entry'!O13,")")</f>
        <v>Friday (खुला)</v>
      </c>
      <c r="G14" s="1593"/>
      <c r="H14" s="1594">
        <f>'MIlk-Data Entry'!AH13</f>
        <v>0</v>
      </c>
      <c r="I14" s="1594"/>
      <c r="J14" s="1594"/>
      <c r="K14" s="1594">
        <f>'MIlk-Data Entry'!AL13</f>
        <v>0</v>
      </c>
      <c r="L14" s="1594"/>
      <c r="M14" s="1594"/>
      <c r="N14" s="1595">
        <f t="shared" si="2"/>
        <v>0</v>
      </c>
      <c r="O14" s="1595"/>
      <c r="P14" s="1595"/>
      <c r="Q14" s="1595"/>
      <c r="R14" s="1588"/>
      <c r="S14" s="1588"/>
      <c r="T14" s="1588"/>
      <c r="U14" s="1588"/>
      <c r="V14" s="1588"/>
      <c r="W14" s="1588"/>
      <c r="X14" s="1588"/>
      <c r="Y14" s="1588"/>
      <c r="Z14" s="1589"/>
      <c r="AA14" s="1589"/>
      <c r="AB14" s="1589"/>
      <c r="AC14" s="1590"/>
      <c r="AD14" s="1590"/>
      <c r="AE14" s="1590"/>
      <c r="AF14" s="1590"/>
      <c r="AG14" s="1590"/>
      <c r="AH14" s="1590"/>
      <c r="AI14" s="1590"/>
      <c r="AJ14" s="1590"/>
      <c r="AK14" s="1591"/>
      <c r="AL14" s="1591"/>
      <c r="AM14" s="763"/>
      <c r="AN14" s="36">
        <f t="shared" si="1"/>
        <v>0</v>
      </c>
    </row>
    <row r="15" spans="1:40" s="37" customFormat="1" ht="26.25" customHeight="1">
      <c r="A15" s="776"/>
      <c r="B15" s="467">
        <f>'MIlk-Data Entry'!K14</f>
        <v>0</v>
      </c>
      <c r="C15" s="494">
        <f>'MIlk-Data Entry'!L14</f>
        <v>8</v>
      </c>
      <c r="D15" s="1592">
        <f>'MIlk-Data Entry'!M14</f>
        <v>45969</v>
      </c>
      <c r="E15" s="1592"/>
      <c r="F15" s="1593" t="str">
        <f>CONCATENATE('MIlk-Data Entry'!N14," ","(",'MIlk-Data Entry'!O14,")")</f>
        <v>Saturday (खुला)</v>
      </c>
      <c r="G15" s="1593"/>
      <c r="H15" s="1594">
        <f>'MIlk-Data Entry'!AH14</f>
        <v>0</v>
      </c>
      <c r="I15" s="1594"/>
      <c r="J15" s="1594"/>
      <c r="K15" s="1594">
        <f>'MIlk-Data Entry'!AL14</f>
        <v>0</v>
      </c>
      <c r="L15" s="1594"/>
      <c r="M15" s="1594"/>
      <c r="N15" s="1595">
        <f t="shared" si="2"/>
        <v>0</v>
      </c>
      <c r="O15" s="1595"/>
      <c r="P15" s="1595"/>
      <c r="Q15" s="1595"/>
      <c r="R15" s="1588"/>
      <c r="S15" s="1588"/>
      <c r="T15" s="1588"/>
      <c r="U15" s="1588"/>
      <c r="V15" s="1588"/>
      <c r="W15" s="1588"/>
      <c r="X15" s="1588"/>
      <c r="Y15" s="1588"/>
      <c r="Z15" s="1589"/>
      <c r="AA15" s="1589"/>
      <c r="AB15" s="1589"/>
      <c r="AC15" s="1590"/>
      <c r="AD15" s="1590"/>
      <c r="AE15" s="1590"/>
      <c r="AF15" s="1590"/>
      <c r="AG15" s="1590"/>
      <c r="AH15" s="1590"/>
      <c r="AI15" s="1590"/>
      <c r="AJ15" s="1590"/>
      <c r="AK15" s="1591"/>
      <c r="AL15" s="1591"/>
      <c r="AM15" s="763"/>
      <c r="AN15" s="36">
        <f t="shared" si="1"/>
        <v>0</v>
      </c>
    </row>
    <row r="16" spans="1:40" s="37" customFormat="1" ht="26.25" customHeight="1">
      <c r="A16" s="776"/>
      <c r="B16" s="467">
        <f>'MIlk-Data Entry'!K15</f>
        <v>0</v>
      </c>
      <c r="C16" s="494">
        <f>'MIlk-Data Entry'!L15</f>
        <v>9</v>
      </c>
      <c r="D16" s="1592">
        <f>'MIlk-Data Entry'!M15</f>
        <v>45970</v>
      </c>
      <c r="E16" s="1592"/>
      <c r="F16" s="1593" t="str">
        <f>CONCATENATE('MIlk-Data Entry'!N15," ","(",'MIlk-Data Entry'!O15,")")</f>
        <v>Sunday (रवि॰अव॰)</v>
      </c>
      <c r="G16" s="1593"/>
      <c r="H16" s="1594">
        <f>'MIlk-Data Entry'!AH15</f>
        <v>0</v>
      </c>
      <c r="I16" s="1594"/>
      <c r="J16" s="1594"/>
      <c r="K16" s="1594">
        <f>'MIlk-Data Entry'!AL15</f>
        <v>0</v>
      </c>
      <c r="L16" s="1594"/>
      <c r="M16" s="1594"/>
      <c r="N16" s="1595">
        <f t="shared" si="2"/>
        <v>0</v>
      </c>
      <c r="O16" s="1595"/>
      <c r="P16" s="1595"/>
      <c r="Q16" s="1595"/>
      <c r="R16" s="1588"/>
      <c r="S16" s="1588"/>
      <c r="T16" s="1588"/>
      <c r="U16" s="1588"/>
      <c r="V16" s="1588"/>
      <c r="W16" s="1588"/>
      <c r="X16" s="1588"/>
      <c r="Y16" s="1588"/>
      <c r="Z16" s="1589"/>
      <c r="AA16" s="1589"/>
      <c r="AB16" s="1589"/>
      <c r="AC16" s="1590"/>
      <c r="AD16" s="1590"/>
      <c r="AE16" s="1590"/>
      <c r="AF16" s="1590"/>
      <c r="AG16" s="1590"/>
      <c r="AH16" s="1590"/>
      <c r="AI16" s="1590"/>
      <c r="AJ16" s="1590"/>
      <c r="AK16" s="1591"/>
      <c r="AL16" s="1591"/>
      <c r="AM16" s="763"/>
      <c r="AN16" s="36">
        <f t="shared" si="1"/>
        <v>0</v>
      </c>
    </row>
    <row r="17" spans="1:40" s="37" customFormat="1" ht="26.25" customHeight="1">
      <c r="A17" s="776"/>
      <c r="B17" s="467">
        <f>'MIlk-Data Entry'!K16</f>
        <v>0</v>
      </c>
      <c r="C17" s="494">
        <f>'MIlk-Data Entry'!L16</f>
        <v>10</v>
      </c>
      <c r="D17" s="1592">
        <f>'MIlk-Data Entry'!M16</f>
        <v>45971</v>
      </c>
      <c r="E17" s="1592"/>
      <c r="F17" s="1593" t="str">
        <f>CONCATENATE('MIlk-Data Entry'!N16," ","(",'MIlk-Data Entry'!O16,")")</f>
        <v>Monday (खुला)</v>
      </c>
      <c r="G17" s="1593"/>
      <c r="H17" s="1594">
        <f>'MIlk-Data Entry'!AH16</f>
        <v>0</v>
      </c>
      <c r="I17" s="1594"/>
      <c r="J17" s="1594"/>
      <c r="K17" s="1594">
        <f>'MIlk-Data Entry'!AL16</f>
        <v>0</v>
      </c>
      <c r="L17" s="1594"/>
      <c r="M17" s="1594"/>
      <c r="N17" s="1595">
        <f t="shared" si="2"/>
        <v>0</v>
      </c>
      <c r="O17" s="1595"/>
      <c r="P17" s="1595"/>
      <c r="Q17" s="1595"/>
      <c r="R17" s="1588"/>
      <c r="S17" s="1588"/>
      <c r="T17" s="1588"/>
      <c r="U17" s="1588"/>
      <c r="V17" s="1588"/>
      <c r="W17" s="1588"/>
      <c r="X17" s="1588"/>
      <c r="Y17" s="1588"/>
      <c r="Z17" s="1589"/>
      <c r="AA17" s="1589"/>
      <c r="AB17" s="1589"/>
      <c r="AC17" s="1590"/>
      <c r="AD17" s="1590"/>
      <c r="AE17" s="1590"/>
      <c r="AF17" s="1590"/>
      <c r="AG17" s="1590"/>
      <c r="AH17" s="1590"/>
      <c r="AI17" s="1590"/>
      <c r="AJ17" s="1590"/>
      <c r="AK17" s="1591"/>
      <c r="AL17" s="1591"/>
      <c r="AM17" s="763"/>
      <c r="AN17" s="36">
        <f t="shared" ref="AN17:AN24" si="3">P17+Q17+AF17+AG17</f>
        <v>0</v>
      </c>
    </row>
    <row r="18" spans="1:40" s="37" customFormat="1" ht="26.25" customHeight="1">
      <c r="A18" s="776"/>
      <c r="B18" s="467">
        <f>'MIlk-Data Entry'!K17</f>
        <v>0</v>
      </c>
      <c r="C18" s="494">
        <f>'MIlk-Data Entry'!L17</f>
        <v>11</v>
      </c>
      <c r="D18" s="1592">
        <f>'MIlk-Data Entry'!M17</f>
        <v>45972</v>
      </c>
      <c r="E18" s="1592"/>
      <c r="F18" s="1593" t="str">
        <f>CONCATENATE('MIlk-Data Entry'!N17," ","(",'MIlk-Data Entry'!O17,")")</f>
        <v>Tuesday (खुला)</v>
      </c>
      <c r="G18" s="1593"/>
      <c r="H18" s="1594">
        <f>'MIlk-Data Entry'!AH17</f>
        <v>0</v>
      </c>
      <c r="I18" s="1594"/>
      <c r="J18" s="1594"/>
      <c r="K18" s="1594">
        <f>'MIlk-Data Entry'!AL17</f>
        <v>0</v>
      </c>
      <c r="L18" s="1594"/>
      <c r="M18" s="1594"/>
      <c r="N18" s="1595">
        <f t="shared" si="2"/>
        <v>0</v>
      </c>
      <c r="O18" s="1595"/>
      <c r="P18" s="1595"/>
      <c r="Q18" s="1595"/>
      <c r="R18" s="1588"/>
      <c r="S18" s="1588"/>
      <c r="T18" s="1588"/>
      <c r="U18" s="1588"/>
      <c r="V18" s="1588"/>
      <c r="W18" s="1588"/>
      <c r="X18" s="1588"/>
      <c r="Y18" s="1588"/>
      <c r="Z18" s="1589"/>
      <c r="AA18" s="1589"/>
      <c r="AB18" s="1589"/>
      <c r="AC18" s="1590"/>
      <c r="AD18" s="1590"/>
      <c r="AE18" s="1590"/>
      <c r="AF18" s="1590"/>
      <c r="AG18" s="1590"/>
      <c r="AH18" s="1590"/>
      <c r="AI18" s="1590"/>
      <c r="AJ18" s="1590"/>
      <c r="AK18" s="1591"/>
      <c r="AL18" s="1591"/>
      <c r="AM18" s="763"/>
      <c r="AN18" s="36">
        <f t="shared" si="3"/>
        <v>0</v>
      </c>
    </row>
    <row r="19" spans="1:40" s="37" customFormat="1" ht="26.25" customHeight="1">
      <c r="A19" s="776"/>
      <c r="B19" s="467">
        <f>'MIlk-Data Entry'!K18</f>
        <v>0</v>
      </c>
      <c r="C19" s="494">
        <f>'MIlk-Data Entry'!L18</f>
        <v>12</v>
      </c>
      <c r="D19" s="1592">
        <f>'MIlk-Data Entry'!M18</f>
        <v>45973</v>
      </c>
      <c r="E19" s="1592"/>
      <c r="F19" s="1593" t="str">
        <f>CONCATENATE('MIlk-Data Entry'!N18," ","(",'MIlk-Data Entry'!O18,")")</f>
        <v>Wednesday (खुला)</v>
      </c>
      <c r="G19" s="1593"/>
      <c r="H19" s="1594">
        <f>'MIlk-Data Entry'!AH18</f>
        <v>0</v>
      </c>
      <c r="I19" s="1594"/>
      <c r="J19" s="1594"/>
      <c r="K19" s="1594">
        <f>'MIlk-Data Entry'!AL18</f>
        <v>0</v>
      </c>
      <c r="L19" s="1594"/>
      <c r="M19" s="1594"/>
      <c r="N19" s="1595">
        <f t="shared" si="2"/>
        <v>0</v>
      </c>
      <c r="O19" s="1595"/>
      <c r="P19" s="1595"/>
      <c r="Q19" s="1595"/>
      <c r="R19" s="1588"/>
      <c r="S19" s="1588"/>
      <c r="T19" s="1588"/>
      <c r="U19" s="1588"/>
      <c r="V19" s="1588"/>
      <c r="W19" s="1588"/>
      <c r="X19" s="1588"/>
      <c r="Y19" s="1588"/>
      <c r="Z19" s="1589"/>
      <c r="AA19" s="1589"/>
      <c r="AB19" s="1589"/>
      <c r="AC19" s="1590"/>
      <c r="AD19" s="1590"/>
      <c r="AE19" s="1590"/>
      <c r="AF19" s="1590"/>
      <c r="AG19" s="1590"/>
      <c r="AH19" s="1590"/>
      <c r="AI19" s="1590"/>
      <c r="AJ19" s="1590"/>
      <c r="AK19" s="1591"/>
      <c r="AL19" s="1591"/>
      <c r="AM19" s="763"/>
      <c r="AN19" s="36">
        <f t="shared" si="3"/>
        <v>0</v>
      </c>
    </row>
    <row r="20" spans="1:40" s="37" customFormat="1" ht="26.25" customHeight="1">
      <c r="A20" s="776"/>
      <c r="B20" s="467">
        <f>'MIlk-Data Entry'!K19</f>
        <v>0</v>
      </c>
      <c r="C20" s="494">
        <f>'MIlk-Data Entry'!L19</f>
        <v>13</v>
      </c>
      <c r="D20" s="1592">
        <f>'MIlk-Data Entry'!M19</f>
        <v>45974</v>
      </c>
      <c r="E20" s="1592"/>
      <c r="F20" s="1593" t="str">
        <f>CONCATENATE('MIlk-Data Entry'!N19," ","(",'MIlk-Data Entry'!O19,")")</f>
        <v>Thursday (खुला)</v>
      </c>
      <c r="G20" s="1593"/>
      <c r="H20" s="1594">
        <f>'MIlk-Data Entry'!AH19</f>
        <v>0</v>
      </c>
      <c r="I20" s="1594"/>
      <c r="J20" s="1594"/>
      <c r="K20" s="1594">
        <f>'MIlk-Data Entry'!AL19</f>
        <v>0</v>
      </c>
      <c r="L20" s="1594"/>
      <c r="M20" s="1594"/>
      <c r="N20" s="1595">
        <f t="shared" si="2"/>
        <v>0</v>
      </c>
      <c r="O20" s="1595"/>
      <c r="P20" s="1595"/>
      <c r="Q20" s="1595"/>
      <c r="R20" s="1588"/>
      <c r="S20" s="1588"/>
      <c r="T20" s="1588"/>
      <c r="U20" s="1588"/>
      <c r="V20" s="1588"/>
      <c r="W20" s="1588"/>
      <c r="X20" s="1588"/>
      <c r="Y20" s="1588"/>
      <c r="Z20" s="1589"/>
      <c r="AA20" s="1589"/>
      <c r="AB20" s="1589"/>
      <c r="AC20" s="1590"/>
      <c r="AD20" s="1590"/>
      <c r="AE20" s="1590"/>
      <c r="AF20" s="1590"/>
      <c r="AG20" s="1590"/>
      <c r="AH20" s="1590"/>
      <c r="AI20" s="1590"/>
      <c r="AJ20" s="1590"/>
      <c r="AK20" s="1591"/>
      <c r="AL20" s="1591"/>
      <c r="AM20" s="763"/>
      <c r="AN20" s="36">
        <f t="shared" si="3"/>
        <v>0</v>
      </c>
    </row>
    <row r="21" spans="1:40" s="37" customFormat="1" ht="26.25" customHeight="1">
      <c r="A21" s="776"/>
      <c r="B21" s="467">
        <f>'MIlk-Data Entry'!K20</f>
        <v>0</v>
      </c>
      <c r="C21" s="494">
        <f>'MIlk-Data Entry'!L20</f>
        <v>14</v>
      </c>
      <c r="D21" s="1592">
        <f>'MIlk-Data Entry'!M20</f>
        <v>45975</v>
      </c>
      <c r="E21" s="1592"/>
      <c r="F21" s="1593" t="str">
        <f>CONCATENATE('MIlk-Data Entry'!N20," ","(",'MIlk-Data Entry'!O20,")")</f>
        <v>Friday (खुला)</v>
      </c>
      <c r="G21" s="1593"/>
      <c r="H21" s="1594">
        <f>'MIlk-Data Entry'!AH20</f>
        <v>0</v>
      </c>
      <c r="I21" s="1594"/>
      <c r="J21" s="1594"/>
      <c r="K21" s="1594">
        <f>'MIlk-Data Entry'!AL20</f>
        <v>0</v>
      </c>
      <c r="L21" s="1594"/>
      <c r="M21" s="1594"/>
      <c r="N21" s="1595">
        <f t="shared" ref="N21:N26" si="4">SUM(H21:M21)</f>
        <v>0</v>
      </c>
      <c r="O21" s="1595"/>
      <c r="P21" s="1595"/>
      <c r="Q21" s="1595"/>
      <c r="R21" s="1588"/>
      <c r="S21" s="1588"/>
      <c r="T21" s="1588"/>
      <c r="U21" s="1588"/>
      <c r="V21" s="1588"/>
      <c r="W21" s="1588"/>
      <c r="X21" s="1588"/>
      <c r="Y21" s="1588"/>
      <c r="Z21" s="1589"/>
      <c r="AA21" s="1589"/>
      <c r="AB21" s="1589"/>
      <c r="AC21" s="1590"/>
      <c r="AD21" s="1590"/>
      <c r="AE21" s="1590"/>
      <c r="AF21" s="1590"/>
      <c r="AG21" s="1590"/>
      <c r="AH21" s="1590"/>
      <c r="AI21" s="1590"/>
      <c r="AJ21" s="1590"/>
      <c r="AK21" s="1591"/>
      <c r="AL21" s="1591"/>
      <c r="AM21" s="763"/>
      <c r="AN21" s="36">
        <f t="shared" si="3"/>
        <v>0</v>
      </c>
    </row>
    <row r="22" spans="1:40" s="37" customFormat="1" ht="26.25" customHeight="1">
      <c r="A22" s="776"/>
      <c r="B22" s="467">
        <f>'MIlk-Data Entry'!K21</f>
        <v>0</v>
      </c>
      <c r="C22" s="494">
        <f>'MIlk-Data Entry'!L21</f>
        <v>15</v>
      </c>
      <c r="D22" s="1592">
        <f>'MIlk-Data Entry'!M21</f>
        <v>45976</v>
      </c>
      <c r="E22" s="1592"/>
      <c r="F22" s="1593" t="str">
        <f>CONCATENATE('MIlk-Data Entry'!N21," ","(",'MIlk-Data Entry'!O21,")")</f>
        <v>Saturday (खुला)</v>
      </c>
      <c r="G22" s="1593"/>
      <c r="H22" s="1594">
        <f>'MIlk-Data Entry'!AH21</f>
        <v>0</v>
      </c>
      <c r="I22" s="1594"/>
      <c r="J22" s="1594"/>
      <c r="K22" s="1594">
        <f>'MIlk-Data Entry'!AL21</f>
        <v>0</v>
      </c>
      <c r="L22" s="1594"/>
      <c r="M22" s="1594"/>
      <c r="N22" s="1595">
        <f t="shared" si="4"/>
        <v>0</v>
      </c>
      <c r="O22" s="1595"/>
      <c r="P22" s="1595"/>
      <c r="Q22" s="1595"/>
      <c r="R22" s="1588"/>
      <c r="S22" s="1588"/>
      <c r="T22" s="1588"/>
      <c r="U22" s="1588"/>
      <c r="V22" s="1588"/>
      <c r="W22" s="1588"/>
      <c r="X22" s="1588"/>
      <c r="Y22" s="1588"/>
      <c r="Z22" s="1589"/>
      <c r="AA22" s="1589"/>
      <c r="AB22" s="1589"/>
      <c r="AC22" s="1590"/>
      <c r="AD22" s="1590"/>
      <c r="AE22" s="1590"/>
      <c r="AF22" s="1590"/>
      <c r="AG22" s="1590"/>
      <c r="AH22" s="1590"/>
      <c r="AI22" s="1590"/>
      <c r="AJ22" s="1590"/>
      <c r="AK22" s="1591"/>
      <c r="AL22" s="1591"/>
      <c r="AM22" s="763"/>
      <c r="AN22" s="36">
        <f t="shared" si="3"/>
        <v>0</v>
      </c>
    </row>
    <row r="23" spans="1:40" s="37" customFormat="1" ht="26.25" customHeight="1">
      <c r="A23" s="776"/>
      <c r="B23" s="467">
        <f>'MIlk-Data Entry'!K22</f>
        <v>0</v>
      </c>
      <c r="C23" s="494">
        <f>'MIlk-Data Entry'!L22</f>
        <v>16</v>
      </c>
      <c r="D23" s="1592">
        <f>'MIlk-Data Entry'!M22</f>
        <v>45977</v>
      </c>
      <c r="E23" s="1592"/>
      <c r="F23" s="1593" t="str">
        <f>CONCATENATE('MIlk-Data Entry'!N22," ","(",'MIlk-Data Entry'!O22,")")</f>
        <v>Sunday (रवि॰अव॰)</v>
      </c>
      <c r="G23" s="1593"/>
      <c r="H23" s="1594">
        <f>'MIlk-Data Entry'!AH22</f>
        <v>0</v>
      </c>
      <c r="I23" s="1594"/>
      <c r="J23" s="1594"/>
      <c r="K23" s="1594">
        <f>'MIlk-Data Entry'!AL22</f>
        <v>0</v>
      </c>
      <c r="L23" s="1594"/>
      <c r="M23" s="1594"/>
      <c r="N23" s="1595">
        <f t="shared" si="4"/>
        <v>0</v>
      </c>
      <c r="O23" s="1595"/>
      <c r="P23" s="1595"/>
      <c r="Q23" s="1595"/>
      <c r="R23" s="1588"/>
      <c r="S23" s="1588"/>
      <c r="T23" s="1588"/>
      <c r="U23" s="1588"/>
      <c r="V23" s="1588"/>
      <c r="W23" s="1588"/>
      <c r="X23" s="1588"/>
      <c r="Y23" s="1588"/>
      <c r="Z23" s="1589"/>
      <c r="AA23" s="1589"/>
      <c r="AB23" s="1589"/>
      <c r="AC23" s="1590"/>
      <c r="AD23" s="1590"/>
      <c r="AE23" s="1590"/>
      <c r="AF23" s="1590"/>
      <c r="AG23" s="1590"/>
      <c r="AH23" s="1590"/>
      <c r="AI23" s="1590"/>
      <c r="AJ23" s="1590"/>
      <c r="AK23" s="1591"/>
      <c r="AL23" s="1591"/>
      <c r="AM23" s="763"/>
      <c r="AN23" s="36">
        <f t="shared" si="3"/>
        <v>0</v>
      </c>
    </row>
    <row r="24" spans="1:40" s="37" customFormat="1" ht="26.25" customHeight="1">
      <c r="A24" s="776"/>
      <c r="B24" s="467">
        <f>'MIlk-Data Entry'!K23</f>
        <v>0</v>
      </c>
      <c r="C24" s="494">
        <f>'MIlk-Data Entry'!L23</f>
        <v>17</v>
      </c>
      <c r="D24" s="1592">
        <f>'MIlk-Data Entry'!M23</f>
        <v>45978</v>
      </c>
      <c r="E24" s="1592"/>
      <c r="F24" s="1593" t="str">
        <f>CONCATENATE('MIlk-Data Entry'!N23," ","(",'MIlk-Data Entry'!O23,")")</f>
        <v>Monday (खुला)</v>
      </c>
      <c r="G24" s="1593"/>
      <c r="H24" s="1594">
        <f>'MIlk-Data Entry'!AH23</f>
        <v>0</v>
      </c>
      <c r="I24" s="1594"/>
      <c r="J24" s="1594"/>
      <c r="K24" s="1594">
        <f>'MIlk-Data Entry'!AL23</f>
        <v>0</v>
      </c>
      <c r="L24" s="1594"/>
      <c r="M24" s="1594"/>
      <c r="N24" s="1595">
        <f t="shared" si="4"/>
        <v>0</v>
      </c>
      <c r="O24" s="1595"/>
      <c r="P24" s="1595"/>
      <c r="Q24" s="1595"/>
      <c r="R24" s="1588"/>
      <c r="S24" s="1588"/>
      <c r="T24" s="1588"/>
      <c r="U24" s="1588"/>
      <c r="V24" s="1588"/>
      <c r="W24" s="1588"/>
      <c r="X24" s="1588"/>
      <c r="Y24" s="1588"/>
      <c r="Z24" s="1589"/>
      <c r="AA24" s="1589"/>
      <c r="AB24" s="1589"/>
      <c r="AC24" s="1590"/>
      <c r="AD24" s="1590"/>
      <c r="AE24" s="1590"/>
      <c r="AF24" s="1590"/>
      <c r="AG24" s="1590"/>
      <c r="AH24" s="1590"/>
      <c r="AI24" s="1590"/>
      <c r="AJ24" s="1590"/>
      <c r="AK24" s="1591"/>
      <c r="AL24" s="1591"/>
      <c r="AM24" s="763"/>
      <c r="AN24" s="36">
        <f t="shared" si="3"/>
        <v>0</v>
      </c>
    </row>
    <row r="25" spans="1:40" s="37" customFormat="1" ht="26.25" customHeight="1">
      <c r="A25" s="776"/>
      <c r="B25" s="467">
        <f>'MIlk-Data Entry'!K24</f>
        <v>0</v>
      </c>
      <c r="C25" s="494">
        <f>'MIlk-Data Entry'!L24</f>
        <v>18</v>
      </c>
      <c r="D25" s="1592">
        <f>'MIlk-Data Entry'!M24</f>
        <v>45979</v>
      </c>
      <c r="E25" s="1592"/>
      <c r="F25" s="1593" t="str">
        <f>CONCATENATE('MIlk-Data Entry'!N24," ","(",'MIlk-Data Entry'!O24,")")</f>
        <v>Tuesday (खुला)</v>
      </c>
      <c r="G25" s="1593"/>
      <c r="H25" s="1594">
        <f>'MIlk-Data Entry'!AH24</f>
        <v>0</v>
      </c>
      <c r="I25" s="1594"/>
      <c r="J25" s="1594"/>
      <c r="K25" s="1594">
        <f>'MIlk-Data Entry'!AL24</f>
        <v>0</v>
      </c>
      <c r="L25" s="1594"/>
      <c r="M25" s="1594"/>
      <c r="N25" s="1595">
        <f t="shared" si="4"/>
        <v>0</v>
      </c>
      <c r="O25" s="1595"/>
      <c r="P25" s="1595"/>
      <c r="Q25" s="1595"/>
      <c r="R25" s="1588"/>
      <c r="S25" s="1588"/>
      <c r="T25" s="1588"/>
      <c r="U25" s="1588"/>
      <c r="V25" s="1588"/>
      <c r="W25" s="1588"/>
      <c r="X25" s="1588"/>
      <c r="Y25" s="1588"/>
      <c r="Z25" s="1589"/>
      <c r="AA25" s="1589"/>
      <c r="AB25" s="1589"/>
      <c r="AC25" s="1590"/>
      <c r="AD25" s="1590"/>
      <c r="AE25" s="1590"/>
      <c r="AF25" s="1590"/>
      <c r="AG25" s="1590"/>
      <c r="AH25" s="1590"/>
      <c r="AI25" s="1590"/>
      <c r="AJ25" s="1590"/>
      <c r="AK25" s="1591"/>
      <c r="AL25" s="1591"/>
      <c r="AM25" s="763"/>
      <c r="AN25" s="36">
        <f t="shared" ref="AN25:AN32" si="5">P25+Q25+AF25+AG25</f>
        <v>0</v>
      </c>
    </row>
    <row r="26" spans="1:40" s="37" customFormat="1" ht="26.25" customHeight="1">
      <c r="A26" s="776"/>
      <c r="B26" s="467">
        <f>'MIlk-Data Entry'!K25</f>
        <v>0</v>
      </c>
      <c r="C26" s="494">
        <f>'MIlk-Data Entry'!L25</f>
        <v>19</v>
      </c>
      <c r="D26" s="1592">
        <f>'MIlk-Data Entry'!M25</f>
        <v>45980</v>
      </c>
      <c r="E26" s="1592"/>
      <c r="F26" s="1593" t="str">
        <f>CONCATENATE('MIlk-Data Entry'!N25," ","(",'MIlk-Data Entry'!O25,")")</f>
        <v>Wednesday (खुला)</v>
      </c>
      <c r="G26" s="1593"/>
      <c r="H26" s="1594">
        <f>'MIlk-Data Entry'!AH25</f>
        <v>0</v>
      </c>
      <c r="I26" s="1594"/>
      <c r="J26" s="1594"/>
      <c r="K26" s="1594">
        <f>'MIlk-Data Entry'!AL25</f>
        <v>0</v>
      </c>
      <c r="L26" s="1594"/>
      <c r="M26" s="1594"/>
      <c r="N26" s="1595">
        <f t="shared" si="4"/>
        <v>0</v>
      </c>
      <c r="O26" s="1595"/>
      <c r="P26" s="1595"/>
      <c r="Q26" s="1595"/>
      <c r="R26" s="1588"/>
      <c r="S26" s="1588"/>
      <c r="T26" s="1588"/>
      <c r="U26" s="1588"/>
      <c r="V26" s="1588"/>
      <c r="W26" s="1588"/>
      <c r="X26" s="1588"/>
      <c r="Y26" s="1588"/>
      <c r="Z26" s="1589"/>
      <c r="AA26" s="1589"/>
      <c r="AB26" s="1589"/>
      <c r="AC26" s="1590"/>
      <c r="AD26" s="1590"/>
      <c r="AE26" s="1590"/>
      <c r="AF26" s="1590"/>
      <c r="AG26" s="1590"/>
      <c r="AH26" s="1590"/>
      <c r="AI26" s="1590"/>
      <c r="AJ26" s="1590"/>
      <c r="AK26" s="1591"/>
      <c r="AL26" s="1591"/>
      <c r="AM26" s="763"/>
      <c r="AN26" s="36">
        <f t="shared" si="5"/>
        <v>0</v>
      </c>
    </row>
    <row r="27" spans="1:40" s="37" customFormat="1" ht="26.25" customHeight="1">
      <c r="A27" s="776"/>
      <c r="B27" s="467">
        <f>'MIlk-Data Entry'!K26</f>
        <v>0</v>
      </c>
      <c r="C27" s="494">
        <f>'MIlk-Data Entry'!L26</f>
        <v>20</v>
      </c>
      <c r="D27" s="1592">
        <f>'MIlk-Data Entry'!M26</f>
        <v>45981</v>
      </c>
      <c r="E27" s="1592"/>
      <c r="F27" s="1593" t="str">
        <f>CONCATENATE('MIlk-Data Entry'!N26," ","(",'MIlk-Data Entry'!O26,")")</f>
        <v>Thursday (खुला)</v>
      </c>
      <c r="G27" s="1593"/>
      <c r="H27" s="1594">
        <f>'MIlk-Data Entry'!AH26</f>
        <v>0</v>
      </c>
      <c r="I27" s="1594"/>
      <c r="J27" s="1594"/>
      <c r="K27" s="1594">
        <f>'MIlk-Data Entry'!AL26</f>
        <v>0</v>
      </c>
      <c r="L27" s="1594"/>
      <c r="M27" s="1594"/>
      <c r="N27" s="1595">
        <f t="shared" ref="N27:N35" si="6">SUM(H27:M27)</f>
        <v>0</v>
      </c>
      <c r="O27" s="1595"/>
      <c r="P27" s="1595"/>
      <c r="Q27" s="1595"/>
      <c r="R27" s="1588"/>
      <c r="S27" s="1588"/>
      <c r="T27" s="1588"/>
      <c r="U27" s="1588"/>
      <c r="V27" s="1588"/>
      <c r="W27" s="1588"/>
      <c r="X27" s="1588"/>
      <c r="Y27" s="1588"/>
      <c r="Z27" s="1589"/>
      <c r="AA27" s="1589"/>
      <c r="AB27" s="1589"/>
      <c r="AC27" s="1590"/>
      <c r="AD27" s="1590"/>
      <c r="AE27" s="1590"/>
      <c r="AF27" s="1590"/>
      <c r="AG27" s="1590"/>
      <c r="AH27" s="1590"/>
      <c r="AI27" s="1590"/>
      <c r="AJ27" s="1590"/>
      <c r="AK27" s="1591"/>
      <c r="AL27" s="1591"/>
      <c r="AM27" s="763"/>
      <c r="AN27" s="36">
        <f t="shared" si="5"/>
        <v>0</v>
      </c>
    </row>
    <row r="28" spans="1:40" s="37" customFormat="1" ht="26.25" customHeight="1">
      <c r="A28" s="776"/>
      <c r="B28" s="467">
        <f>'MIlk-Data Entry'!K27</f>
        <v>0</v>
      </c>
      <c r="C28" s="494">
        <f>'MIlk-Data Entry'!L27</f>
        <v>21</v>
      </c>
      <c r="D28" s="1592">
        <f>'MIlk-Data Entry'!M27</f>
        <v>45982</v>
      </c>
      <c r="E28" s="1592"/>
      <c r="F28" s="1593" t="str">
        <f>CONCATENATE('MIlk-Data Entry'!N27," ","(",'MIlk-Data Entry'!O27,")")</f>
        <v>Friday (खुला)</v>
      </c>
      <c r="G28" s="1593"/>
      <c r="H28" s="1594">
        <f>'MIlk-Data Entry'!AH27</f>
        <v>0</v>
      </c>
      <c r="I28" s="1594"/>
      <c r="J28" s="1594"/>
      <c r="K28" s="1594">
        <f>'MIlk-Data Entry'!AL27</f>
        <v>0</v>
      </c>
      <c r="L28" s="1594"/>
      <c r="M28" s="1594"/>
      <c r="N28" s="1595">
        <f t="shared" si="6"/>
        <v>0</v>
      </c>
      <c r="O28" s="1595"/>
      <c r="P28" s="1595"/>
      <c r="Q28" s="1595"/>
      <c r="R28" s="1588"/>
      <c r="S28" s="1588"/>
      <c r="T28" s="1588"/>
      <c r="U28" s="1588"/>
      <c r="V28" s="1588"/>
      <c r="W28" s="1588"/>
      <c r="X28" s="1588"/>
      <c r="Y28" s="1588"/>
      <c r="Z28" s="1589"/>
      <c r="AA28" s="1589"/>
      <c r="AB28" s="1589"/>
      <c r="AC28" s="1590"/>
      <c r="AD28" s="1590"/>
      <c r="AE28" s="1590"/>
      <c r="AF28" s="1590"/>
      <c r="AG28" s="1590"/>
      <c r="AH28" s="1590"/>
      <c r="AI28" s="1590"/>
      <c r="AJ28" s="1590"/>
      <c r="AK28" s="1591"/>
      <c r="AL28" s="1591"/>
      <c r="AM28" s="763"/>
      <c r="AN28" s="36">
        <f t="shared" si="5"/>
        <v>0</v>
      </c>
    </row>
    <row r="29" spans="1:40" s="37" customFormat="1" ht="26.25" customHeight="1">
      <c r="A29" s="776"/>
      <c r="B29" s="467">
        <f>'MIlk-Data Entry'!K28</f>
        <v>0</v>
      </c>
      <c r="C29" s="494">
        <f>'MIlk-Data Entry'!L28</f>
        <v>22</v>
      </c>
      <c r="D29" s="1592">
        <f>'MIlk-Data Entry'!M28</f>
        <v>45983</v>
      </c>
      <c r="E29" s="1592"/>
      <c r="F29" s="1593" t="str">
        <f>CONCATENATE('MIlk-Data Entry'!N28," ","(",'MIlk-Data Entry'!O28,")")</f>
        <v>Saturday (खुला)</v>
      </c>
      <c r="G29" s="1593"/>
      <c r="H29" s="1594">
        <f>'MIlk-Data Entry'!AH28</f>
        <v>0</v>
      </c>
      <c r="I29" s="1594"/>
      <c r="J29" s="1594"/>
      <c r="K29" s="1594">
        <f>'MIlk-Data Entry'!AL28</f>
        <v>0</v>
      </c>
      <c r="L29" s="1594"/>
      <c r="M29" s="1594"/>
      <c r="N29" s="1595">
        <f t="shared" si="6"/>
        <v>0</v>
      </c>
      <c r="O29" s="1595"/>
      <c r="P29" s="1595"/>
      <c r="Q29" s="1595"/>
      <c r="R29" s="1588"/>
      <c r="S29" s="1588"/>
      <c r="T29" s="1588"/>
      <c r="U29" s="1588"/>
      <c r="V29" s="1588"/>
      <c r="W29" s="1588"/>
      <c r="X29" s="1588"/>
      <c r="Y29" s="1588"/>
      <c r="Z29" s="1589"/>
      <c r="AA29" s="1589"/>
      <c r="AB29" s="1589"/>
      <c r="AC29" s="1590"/>
      <c r="AD29" s="1590"/>
      <c r="AE29" s="1590"/>
      <c r="AF29" s="1590"/>
      <c r="AG29" s="1590"/>
      <c r="AH29" s="1590"/>
      <c r="AI29" s="1590"/>
      <c r="AJ29" s="1590"/>
      <c r="AK29" s="1591"/>
      <c r="AL29" s="1591"/>
      <c r="AM29" s="763"/>
      <c r="AN29" s="36">
        <f t="shared" si="5"/>
        <v>0</v>
      </c>
    </row>
    <row r="30" spans="1:40" s="37" customFormat="1" ht="26.25" customHeight="1">
      <c r="A30" s="776"/>
      <c r="B30" s="467">
        <f>'MIlk-Data Entry'!K29</f>
        <v>0</v>
      </c>
      <c r="C30" s="494">
        <f>'MIlk-Data Entry'!L29</f>
        <v>23</v>
      </c>
      <c r="D30" s="1592">
        <f>'MIlk-Data Entry'!M29</f>
        <v>45984</v>
      </c>
      <c r="E30" s="1592"/>
      <c r="F30" s="1593" t="str">
        <f>CONCATENATE('MIlk-Data Entry'!N29," ","(",'MIlk-Data Entry'!O29,")")</f>
        <v>Sunday (रवि॰अव॰)</v>
      </c>
      <c r="G30" s="1593"/>
      <c r="H30" s="1594">
        <f>'MIlk-Data Entry'!AH29</f>
        <v>0</v>
      </c>
      <c r="I30" s="1594"/>
      <c r="J30" s="1594"/>
      <c r="K30" s="1594">
        <f>'MIlk-Data Entry'!AL29</f>
        <v>0</v>
      </c>
      <c r="L30" s="1594"/>
      <c r="M30" s="1594"/>
      <c r="N30" s="1595">
        <f t="shared" si="6"/>
        <v>0</v>
      </c>
      <c r="O30" s="1595"/>
      <c r="P30" s="1595"/>
      <c r="Q30" s="1595"/>
      <c r="R30" s="1588"/>
      <c r="S30" s="1588"/>
      <c r="T30" s="1588"/>
      <c r="U30" s="1588"/>
      <c r="V30" s="1588"/>
      <c r="W30" s="1588"/>
      <c r="X30" s="1588"/>
      <c r="Y30" s="1588"/>
      <c r="Z30" s="1589"/>
      <c r="AA30" s="1589"/>
      <c r="AB30" s="1589"/>
      <c r="AC30" s="1590"/>
      <c r="AD30" s="1590"/>
      <c r="AE30" s="1590"/>
      <c r="AF30" s="1590"/>
      <c r="AG30" s="1590"/>
      <c r="AH30" s="1590"/>
      <c r="AI30" s="1590"/>
      <c r="AJ30" s="1590"/>
      <c r="AK30" s="1591"/>
      <c r="AL30" s="1591"/>
      <c r="AM30" s="763"/>
      <c r="AN30" s="36">
        <f t="shared" si="5"/>
        <v>0</v>
      </c>
    </row>
    <row r="31" spans="1:40" s="37" customFormat="1" ht="26.25" customHeight="1">
      <c r="A31" s="776"/>
      <c r="B31" s="467">
        <f>'MIlk-Data Entry'!K30</f>
        <v>0</v>
      </c>
      <c r="C31" s="494">
        <f>'MIlk-Data Entry'!L30</f>
        <v>24</v>
      </c>
      <c r="D31" s="1592">
        <f>'MIlk-Data Entry'!M30</f>
        <v>45985</v>
      </c>
      <c r="E31" s="1592"/>
      <c r="F31" s="1593" t="str">
        <f>CONCATENATE('MIlk-Data Entry'!N30," ","(",'MIlk-Data Entry'!O30,")")</f>
        <v>Monday (खुला)</v>
      </c>
      <c r="G31" s="1593"/>
      <c r="H31" s="1594">
        <f>'MIlk-Data Entry'!AH30</f>
        <v>0</v>
      </c>
      <c r="I31" s="1594"/>
      <c r="J31" s="1594"/>
      <c r="K31" s="1594">
        <f>'MIlk-Data Entry'!AL30</f>
        <v>0</v>
      </c>
      <c r="L31" s="1594"/>
      <c r="M31" s="1594"/>
      <c r="N31" s="1595">
        <f t="shared" si="6"/>
        <v>0</v>
      </c>
      <c r="O31" s="1595"/>
      <c r="P31" s="1595"/>
      <c r="Q31" s="1595"/>
      <c r="R31" s="1588"/>
      <c r="S31" s="1588"/>
      <c r="T31" s="1588"/>
      <c r="U31" s="1588"/>
      <c r="V31" s="1588"/>
      <c r="W31" s="1588"/>
      <c r="X31" s="1588"/>
      <c r="Y31" s="1588"/>
      <c r="Z31" s="1589"/>
      <c r="AA31" s="1589"/>
      <c r="AB31" s="1589"/>
      <c r="AC31" s="1590"/>
      <c r="AD31" s="1590"/>
      <c r="AE31" s="1590"/>
      <c r="AF31" s="1590"/>
      <c r="AG31" s="1590"/>
      <c r="AH31" s="1590"/>
      <c r="AI31" s="1590"/>
      <c r="AJ31" s="1590"/>
      <c r="AK31" s="1591"/>
      <c r="AL31" s="1591"/>
      <c r="AM31" s="763"/>
      <c r="AN31" s="36">
        <f t="shared" si="5"/>
        <v>0</v>
      </c>
    </row>
    <row r="32" spans="1:40" s="37" customFormat="1" ht="26.25" customHeight="1">
      <c r="A32" s="776"/>
      <c r="B32" s="467">
        <f>'MIlk-Data Entry'!K31</f>
        <v>0</v>
      </c>
      <c r="C32" s="494">
        <f>'MIlk-Data Entry'!L31</f>
        <v>25</v>
      </c>
      <c r="D32" s="1592">
        <f>'MIlk-Data Entry'!M31</f>
        <v>45986</v>
      </c>
      <c r="E32" s="1592"/>
      <c r="F32" s="1593" t="str">
        <f>CONCATENATE('MIlk-Data Entry'!N31," ","(",'MIlk-Data Entry'!O31,")")</f>
        <v>Tuesday (खुला)</v>
      </c>
      <c r="G32" s="1593"/>
      <c r="H32" s="1594">
        <f>'MIlk-Data Entry'!AH31</f>
        <v>0</v>
      </c>
      <c r="I32" s="1594"/>
      <c r="J32" s="1594"/>
      <c r="K32" s="1594">
        <f>'MIlk-Data Entry'!AL31</f>
        <v>0</v>
      </c>
      <c r="L32" s="1594"/>
      <c r="M32" s="1594"/>
      <c r="N32" s="1595">
        <f t="shared" si="6"/>
        <v>0</v>
      </c>
      <c r="O32" s="1595"/>
      <c r="P32" s="1595"/>
      <c r="Q32" s="1595"/>
      <c r="R32" s="1588"/>
      <c r="S32" s="1588"/>
      <c r="T32" s="1588"/>
      <c r="U32" s="1588"/>
      <c r="V32" s="1588"/>
      <c r="W32" s="1588"/>
      <c r="X32" s="1588"/>
      <c r="Y32" s="1588"/>
      <c r="Z32" s="1589"/>
      <c r="AA32" s="1589"/>
      <c r="AB32" s="1589"/>
      <c r="AC32" s="1590"/>
      <c r="AD32" s="1590"/>
      <c r="AE32" s="1590"/>
      <c r="AF32" s="1590"/>
      <c r="AG32" s="1590"/>
      <c r="AH32" s="1590"/>
      <c r="AI32" s="1590"/>
      <c r="AJ32" s="1590"/>
      <c r="AK32" s="1591"/>
      <c r="AL32" s="1591"/>
      <c r="AM32" s="763"/>
      <c r="AN32" s="36">
        <f t="shared" si="5"/>
        <v>0</v>
      </c>
    </row>
    <row r="33" spans="1:40" s="37" customFormat="1" ht="26.25" customHeight="1">
      <c r="A33" s="776"/>
      <c r="B33" s="467">
        <f>'MIlk-Data Entry'!K32</f>
        <v>0</v>
      </c>
      <c r="C33" s="494">
        <f>'MIlk-Data Entry'!L32</f>
        <v>26</v>
      </c>
      <c r="D33" s="1592">
        <f>'MIlk-Data Entry'!M32</f>
        <v>45987</v>
      </c>
      <c r="E33" s="1592"/>
      <c r="F33" s="1593" t="str">
        <f>CONCATENATE('MIlk-Data Entry'!N32," ","(",'MIlk-Data Entry'!O32,")")</f>
        <v>Wednesday (खुला)</v>
      </c>
      <c r="G33" s="1593"/>
      <c r="H33" s="1594">
        <f>'MIlk-Data Entry'!AH32</f>
        <v>0</v>
      </c>
      <c r="I33" s="1594"/>
      <c r="J33" s="1594"/>
      <c r="K33" s="1594">
        <f>'MIlk-Data Entry'!AL32</f>
        <v>0</v>
      </c>
      <c r="L33" s="1594"/>
      <c r="M33" s="1594"/>
      <c r="N33" s="1595">
        <f t="shared" si="6"/>
        <v>0</v>
      </c>
      <c r="O33" s="1595"/>
      <c r="P33" s="1595"/>
      <c r="Q33" s="1595"/>
      <c r="R33" s="1588"/>
      <c r="S33" s="1588"/>
      <c r="T33" s="1588"/>
      <c r="U33" s="1588"/>
      <c r="V33" s="1588"/>
      <c r="W33" s="1588"/>
      <c r="X33" s="1588"/>
      <c r="Y33" s="1588"/>
      <c r="Z33" s="1589"/>
      <c r="AA33" s="1589"/>
      <c r="AB33" s="1589"/>
      <c r="AC33" s="1590"/>
      <c r="AD33" s="1590"/>
      <c r="AE33" s="1590"/>
      <c r="AF33" s="1590"/>
      <c r="AG33" s="1590"/>
      <c r="AH33" s="1590"/>
      <c r="AI33" s="1590"/>
      <c r="AJ33" s="1590"/>
      <c r="AK33" s="1591"/>
      <c r="AL33" s="1591"/>
      <c r="AM33" s="763"/>
      <c r="AN33" s="36">
        <f t="shared" ref="AN33:AN37" si="7">P33+Q33+AF33+AG33</f>
        <v>0</v>
      </c>
    </row>
    <row r="34" spans="1:40" s="37" customFormat="1" ht="26.25" customHeight="1">
      <c r="A34" s="776"/>
      <c r="B34" s="467">
        <f>'MIlk-Data Entry'!K33</f>
        <v>0</v>
      </c>
      <c r="C34" s="494">
        <f>'MIlk-Data Entry'!L33</f>
        <v>27</v>
      </c>
      <c r="D34" s="1592">
        <f>'MIlk-Data Entry'!M33</f>
        <v>45988</v>
      </c>
      <c r="E34" s="1592"/>
      <c r="F34" s="1593" t="str">
        <f>CONCATENATE('MIlk-Data Entry'!N33," ","(",'MIlk-Data Entry'!O33,")")</f>
        <v>Thursday (खुला)</v>
      </c>
      <c r="G34" s="1593"/>
      <c r="H34" s="1594">
        <f>'MIlk-Data Entry'!AH33</f>
        <v>0</v>
      </c>
      <c r="I34" s="1594"/>
      <c r="J34" s="1594"/>
      <c r="K34" s="1594">
        <f>'MIlk-Data Entry'!AL33</f>
        <v>0</v>
      </c>
      <c r="L34" s="1594"/>
      <c r="M34" s="1594"/>
      <c r="N34" s="1595">
        <f t="shared" si="6"/>
        <v>0</v>
      </c>
      <c r="O34" s="1595"/>
      <c r="P34" s="1595"/>
      <c r="Q34" s="1595"/>
      <c r="R34" s="1588"/>
      <c r="S34" s="1588"/>
      <c r="T34" s="1588"/>
      <c r="U34" s="1588"/>
      <c r="V34" s="1588"/>
      <c r="W34" s="1588"/>
      <c r="X34" s="1588"/>
      <c r="Y34" s="1588"/>
      <c r="Z34" s="1589"/>
      <c r="AA34" s="1589"/>
      <c r="AB34" s="1589"/>
      <c r="AC34" s="1590"/>
      <c r="AD34" s="1590"/>
      <c r="AE34" s="1590"/>
      <c r="AF34" s="1590"/>
      <c r="AG34" s="1590"/>
      <c r="AH34" s="1590"/>
      <c r="AI34" s="1590"/>
      <c r="AJ34" s="1590"/>
      <c r="AK34" s="1591"/>
      <c r="AL34" s="1591"/>
      <c r="AM34" s="763"/>
      <c r="AN34" s="36">
        <f t="shared" si="7"/>
        <v>0</v>
      </c>
    </row>
    <row r="35" spans="1:40" s="37" customFormat="1" ht="26.25" customHeight="1">
      <c r="A35" s="776"/>
      <c r="B35" s="467">
        <f>'MIlk-Data Entry'!K34</f>
        <v>0</v>
      </c>
      <c r="C35" s="494">
        <f>'MIlk-Data Entry'!L34</f>
        <v>28</v>
      </c>
      <c r="D35" s="1592">
        <f>'MIlk-Data Entry'!M34</f>
        <v>45989</v>
      </c>
      <c r="E35" s="1592"/>
      <c r="F35" s="1593" t="str">
        <f>CONCATENATE('MIlk-Data Entry'!N34," ","(",'MIlk-Data Entry'!O34,")")</f>
        <v>Friday (खुला)</v>
      </c>
      <c r="G35" s="1593"/>
      <c r="H35" s="1594">
        <f>'MIlk-Data Entry'!AH34</f>
        <v>0</v>
      </c>
      <c r="I35" s="1594"/>
      <c r="J35" s="1594"/>
      <c r="K35" s="1594">
        <f>'MIlk-Data Entry'!AL34</f>
        <v>0</v>
      </c>
      <c r="L35" s="1594"/>
      <c r="M35" s="1594"/>
      <c r="N35" s="1595">
        <f t="shared" si="6"/>
        <v>0</v>
      </c>
      <c r="O35" s="1595"/>
      <c r="P35" s="1595"/>
      <c r="Q35" s="1595"/>
      <c r="R35" s="1588"/>
      <c r="S35" s="1588"/>
      <c r="T35" s="1588"/>
      <c r="U35" s="1588"/>
      <c r="V35" s="1588"/>
      <c r="W35" s="1588"/>
      <c r="X35" s="1588"/>
      <c r="Y35" s="1588"/>
      <c r="Z35" s="1589"/>
      <c r="AA35" s="1589"/>
      <c r="AB35" s="1589"/>
      <c r="AC35" s="1590"/>
      <c r="AD35" s="1590"/>
      <c r="AE35" s="1590"/>
      <c r="AF35" s="1590"/>
      <c r="AG35" s="1590"/>
      <c r="AH35" s="1590"/>
      <c r="AI35" s="1590"/>
      <c r="AJ35" s="1590"/>
      <c r="AK35" s="1591"/>
      <c r="AL35" s="1591"/>
      <c r="AM35" s="763"/>
      <c r="AN35" s="36">
        <f t="shared" si="7"/>
        <v>0</v>
      </c>
    </row>
    <row r="36" spans="1:40" s="37" customFormat="1" ht="26.25" customHeight="1">
      <c r="A36" s="776"/>
      <c r="B36" s="467">
        <f>IF(C36="--","--",'MIlk-Data Entry'!K35)</f>
        <v>0</v>
      </c>
      <c r="C36" s="494">
        <f>'MIlk-Data Entry'!L35</f>
        <v>29</v>
      </c>
      <c r="D36" s="1592">
        <f>'MIlk-Data Entry'!M35</f>
        <v>45990</v>
      </c>
      <c r="E36" s="1592"/>
      <c r="F36" s="1593" t="str">
        <f>IF(C36="--","--",CONCATENATE('MIlk-Data Entry'!N35," ","(",'MIlk-Data Entry'!O35,")"))</f>
        <v>Saturday (खुला)</v>
      </c>
      <c r="G36" s="1593"/>
      <c r="H36" s="1594">
        <f>IF(C36="--","--",'MIlk-Data Entry'!AH35)</f>
        <v>0</v>
      </c>
      <c r="I36" s="1594"/>
      <c r="J36" s="1594"/>
      <c r="K36" s="1594">
        <f>IF(C36="--","--",'MIlk-Data Entry'!AL35)</f>
        <v>0</v>
      </c>
      <c r="L36" s="1594"/>
      <c r="M36" s="1594"/>
      <c r="N36" s="1595">
        <f>IF(C36="--","--",SUM(H36:M36))</f>
        <v>0</v>
      </c>
      <c r="O36" s="1595"/>
      <c r="P36" s="1595"/>
      <c r="Q36" s="1595"/>
      <c r="R36" s="1588"/>
      <c r="S36" s="1588"/>
      <c r="T36" s="1588"/>
      <c r="U36" s="1588"/>
      <c r="V36" s="1588"/>
      <c r="W36" s="1588"/>
      <c r="X36" s="1588"/>
      <c r="Y36" s="1588"/>
      <c r="Z36" s="1589"/>
      <c r="AA36" s="1589"/>
      <c r="AB36" s="1589"/>
      <c r="AC36" s="1590"/>
      <c r="AD36" s="1590"/>
      <c r="AE36" s="1590"/>
      <c r="AF36" s="1590"/>
      <c r="AG36" s="1590"/>
      <c r="AH36" s="1590"/>
      <c r="AI36" s="1590"/>
      <c r="AJ36" s="1590"/>
      <c r="AK36" s="1591"/>
      <c r="AL36" s="1591"/>
      <c r="AM36" s="763"/>
      <c r="AN36" s="36">
        <f t="shared" si="7"/>
        <v>0</v>
      </c>
    </row>
    <row r="37" spans="1:40" s="37" customFormat="1" ht="26.25" customHeight="1">
      <c r="A37" s="776"/>
      <c r="B37" s="467">
        <f>IF(C37="--","--",'MIlk-Data Entry'!K36)</f>
        <v>0</v>
      </c>
      <c r="C37" s="494">
        <f>'MIlk-Data Entry'!L36</f>
        <v>30</v>
      </c>
      <c r="D37" s="1592">
        <f>'MIlk-Data Entry'!M36</f>
        <v>45991</v>
      </c>
      <c r="E37" s="1592"/>
      <c r="F37" s="1593" t="str">
        <f>IF(C37="--","--",CONCATENATE('MIlk-Data Entry'!N36," ","(",'MIlk-Data Entry'!O36,")"))</f>
        <v>Sunday (रवि॰अव॰)</v>
      </c>
      <c r="G37" s="1593"/>
      <c r="H37" s="1594">
        <f>IF(C37="--","--",'MIlk-Data Entry'!AH36)</f>
        <v>0</v>
      </c>
      <c r="I37" s="1594"/>
      <c r="J37" s="1594"/>
      <c r="K37" s="1594">
        <f>IF(C37="--","--",'MIlk-Data Entry'!AL36)</f>
        <v>0</v>
      </c>
      <c r="L37" s="1594"/>
      <c r="M37" s="1594"/>
      <c r="N37" s="1595">
        <f>IF(C37="--","--",SUM(H37:M37))</f>
        <v>0</v>
      </c>
      <c r="O37" s="1595"/>
      <c r="P37" s="1595"/>
      <c r="Q37" s="1595"/>
      <c r="R37" s="1588"/>
      <c r="S37" s="1588"/>
      <c r="T37" s="1588"/>
      <c r="U37" s="1588"/>
      <c r="V37" s="1588"/>
      <c r="W37" s="1588"/>
      <c r="X37" s="1588"/>
      <c r="Y37" s="1588"/>
      <c r="Z37" s="1589"/>
      <c r="AA37" s="1589"/>
      <c r="AB37" s="1589"/>
      <c r="AC37" s="1590"/>
      <c r="AD37" s="1590"/>
      <c r="AE37" s="1590"/>
      <c r="AF37" s="1590"/>
      <c r="AG37" s="1590"/>
      <c r="AH37" s="1590"/>
      <c r="AI37" s="1590"/>
      <c r="AJ37" s="1590"/>
      <c r="AK37" s="1591"/>
      <c r="AL37" s="1591"/>
      <c r="AM37" s="763"/>
      <c r="AN37" s="36">
        <f t="shared" si="7"/>
        <v>0</v>
      </c>
    </row>
    <row r="38" spans="1:40" s="37" customFormat="1" ht="26.25" customHeight="1">
      <c r="A38" s="776"/>
      <c r="B38" s="467" t="str">
        <f>IF(C38="--","--",'MIlk-Data Entry'!K37)</f>
        <v>--</v>
      </c>
      <c r="C38" s="494" t="str">
        <f>'MIlk-Data Entry'!L37</f>
        <v>--</v>
      </c>
      <c r="D38" s="1592" t="str">
        <f>'MIlk-Data Entry'!M37</f>
        <v>---</v>
      </c>
      <c r="E38" s="1592"/>
      <c r="F38" s="1593" t="str">
        <f>IF(C38="--","--",CONCATENATE('MIlk-Data Entry'!N37," ","(",'MIlk-Data Entry'!O37,")"))</f>
        <v>--</v>
      </c>
      <c r="G38" s="1593"/>
      <c r="H38" s="1594" t="str">
        <f>IF(C38="--","--",'MIlk-Data Entry'!AH37)</f>
        <v>--</v>
      </c>
      <c r="I38" s="1594"/>
      <c r="J38" s="1594"/>
      <c r="K38" s="1594" t="str">
        <f>IF(C38="--","--",'MIlk-Data Entry'!AL37)</f>
        <v>--</v>
      </c>
      <c r="L38" s="1594"/>
      <c r="M38" s="1594"/>
      <c r="N38" s="1595" t="str">
        <f>IF(C38="--","--",SUM(H38:M38))</f>
        <v>--</v>
      </c>
      <c r="O38" s="1595"/>
      <c r="P38" s="1595"/>
      <c r="Q38" s="1595"/>
      <c r="R38" s="1588"/>
      <c r="S38" s="1588"/>
      <c r="T38" s="1588"/>
      <c r="U38" s="1588"/>
      <c r="V38" s="1588"/>
      <c r="W38" s="1588"/>
      <c r="X38" s="1588"/>
      <c r="Y38" s="1588"/>
      <c r="Z38" s="1589"/>
      <c r="AA38" s="1589"/>
      <c r="AB38" s="1589"/>
      <c r="AC38" s="1590"/>
      <c r="AD38" s="1590"/>
      <c r="AE38" s="1590"/>
      <c r="AF38" s="1590"/>
      <c r="AG38" s="1590"/>
      <c r="AH38" s="1590"/>
      <c r="AI38" s="1590"/>
      <c r="AJ38" s="1590"/>
      <c r="AK38" s="1591"/>
      <c r="AL38" s="1591"/>
      <c r="AM38" s="763"/>
      <c r="AN38" s="36">
        <f t="shared" si="1"/>
        <v>0</v>
      </c>
    </row>
    <row r="39" spans="1:40" s="117" customFormat="1" ht="24.75" customHeight="1">
      <c r="A39" s="776"/>
      <c r="B39" s="111"/>
      <c r="C39" s="1391"/>
      <c r="D39" s="1391"/>
      <c r="E39" s="1391"/>
      <c r="F39" s="1391"/>
      <c r="G39" s="1391"/>
      <c r="H39" s="1391"/>
      <c r="I39" s="1391"/>
      <c r="J39" s="1391"/>
      <c r="K39" s="1391"/>
      <c r="L39" s="1391"/>
      <c r="M39" s="1391"/>
      <c r="N39" s="1391"/>
      <c r="O39" s="1391"/>
      <c r="P39" s="1391"/>
      <c r="Q39" s="1391"/>
      <c r="R39" s="1391"/>
      <c r="S39" s="1391"/>
      <c r="T39" s="1391"/>
      <c r="U39" s="1391"/>
      <c r="V39" s="1391"/>
      <c r="W39" s="1391"/>
      <c r="X39" s="1391"/>
      <c r="Y39" s="1391"/>
      <c r="Z39" s="1391"/>
      <c r="AA39" s="1391"/>
      <c r="AB39" s="1391"/>
      <c r="AC39" s="1391"/>
      <c r="AD39" s="1391"/>
      <c r="AE39" s="1391"/>
      <c r="AF39" s="1391"/>
      <c r="AG39" s="1391"/>
      <c r="AH39" s="1391"/>
      <c r="AI39" s="1391"/>
      <c r="AJ39" s="1391"/>
      <c r="AK39" s="1391"/>
      <c r="AL39" s="1391"/>
      <c r="AM39" s="763"/>
      <c r="AN39" s="116"/>
    </row>
    <row r="40" spans="1:40" s="117" customFormat="1" ht="57.75" customHeight="1">
      <c r="A40" s="776"/>
      <c r="B40" s="111"/>
      <c r="C40" s="1441" t="s">
        <v>124</v>
      </c>
      <c r="D40" s="1441"/>
      <c r="E40" s="1441"/>
      <c r="F40" s="1441"/>
      <c r="G40" s="1441"/>
      <c r="H40" s="1441"/>
      <c r="I40" s="1441"/>
      <c r="J40" s="1441"/>
      <c r="K40" s="1441"/>
      <c r="L40" s="1441" t="s">
        <v>245</v>
      </c>
      <c r="M40" s="1441"/>
      <c r="N40" s="1441"/>
      <c r="O40" s="1441"/>
      <c r="P40" s="1441"/>
      <c r="Q40" s="1441"/>
      <c r="R40" s="1441"/>
      <c r="S40" s="1441"/>
      <c r="T40" s="1441"/>
      <c r="U40" s="1441" t="s">
        <v>246</v>
      </c>
      <c r="V40" s="1441"/>
      <c r="W40" s="1441"/>
      <c r="X40" s="1441"/>
      <c r="Y40" s="1441"/>
      <c r="Z40" s="1441"/>
      <c r="AA40" s="1441"/>
      <c r="AB40" s="1441"/>
      <c r="AC40" s="1441"/>
      <c r="AD40" s="1441" t="s">
        <v>247</v>
      </c>
      <c r="AE40" s="1441"/>
      <c r="AF40" s="1441"/>
      <c r="AG40" s="1441"/>
      <c r="AH40" s="1441"/>
      <c r="AI40" s="1441"/>
      <c r="AJ40" s="1441"/>
      <c r="AK40" s="1441"/>
      <c r="AL40" s="1441"/>
      <c r="AM40" s="763"/>
      <c r="AN40" s="116"/>
    </row>
    <row r="41" spans="1:40">
      <c r="A41" s="776"/>
      <c r="B41" s="111"/>
      <c r="C41" s="1330"/>
      <c r="D41" s="1330"/>
      <c r="E41" s="1330"/>
      <c r="F41" s="1330"/>
      <c r="G41" s="1330"/>
      <c r="H41" s="1330"/>
      <c r="I41" s="1330"/>
      <c r="J41" s="1330"/>
      <c r="K41" s="1330"/>
      <c r="L41" s="1330"/>
      <c r="M41" s="1330"/>
      <c r="N41" s="1330"/>
      <c r="O41" s="1330"/>
      <c r="P41" s="1330"/>
      <c r="Q41" s="1330"/>
      <c r="R41" s="1330"/>
      <c r="S41" s="1330"/>
      <c r="T41" s="1330"/>
      <c r="U41" s="1330"/>
      <c r="V41" s="1330"/>
      <c r="W41" s="1330"/>
      <c r="X41" s="1330"/>
      <c r="Y41" s="1330"/>
      <c r="Z41" s="1330"/>
      <c r="AA41" s="1330"/>
      <c r="AB41" s="1330"/>
      <c r="AC41" s="1330"/>
      <c r="AD41" s="1330"/>
      <c r="AE41" s="1330"/>
      <c r="AF41" s="1330"/>
      <c r="AG41" s="1330"/>
      <c r="AH41" s="1330"/>
      <c r="AI41" s="1330"/>
      <c r="AJ41" s="1330"/>
      <c r="AK41" s="1330"/>
      <c r="AL41" s="32"/>
      <c r="AM41" s="763"/>
    </row>
    <row r="42" spans="1:40" hidden="1"/>
    <row r="43" spans="1:40" hidden="1"/>
    <row r="44" spans="1:40" hidden="1"/>
    <row r="45" spans="1:40" hidden="1"/>
    <row r="46" spans="1:40" hidden="1"/>
    <row r="47" spans="1:40" hidden="1"/>
    <row r="48" spans="1:40" hidden="1"/>
    <row r="49" hidden="1"/>
    <row r="50" hidden="1"/>
    <row r="51" hidden="1"/>
    <row r="52" hidden="1"/>
    <row r="53" hidden="1"/>
    <row r="54" hidden="1"/>
    <row r="55" hidden="1"/>
    <row r="56" hidden="1"/>
    <row r="57" hidden="1"/>
    <row r="58" hidden="1"/>
    <row r="59" hidden="1"/>
    <row r="60" hidden="1"/>
    <row r="61" hidden="1"/>
    <row r="62" hidden="1"/>
    <row r="63" hidden="1"/>
    <row r="64"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sheetData>
  <sheetProtection password="E8FA" sheet="1" objects="1" scenarios="1" formatCells="0" formatColumns="0" formatRows="0" selectLockedCells="1"/>
  <mergeCells count="452">
    <mergeCell ref="A1:AL1"/>
    <mergeCell ref="AM1:AM41"/>
    <mergeCell ref="A2:A41"/>
    <mergeCell ref="C2:M2"/>
    <mergeCell ref="AG2:AI2"/>
    <mergeCell ref="AJ2:AK2"/>
    <mergeCell ref="AG3:AI3"/>
    <mergeCell ref="AJ3:AK3"/>
    <mergeCell ref="Z6:AB7"/>
    <mergeCell ref="C6:C7"/>
    <mergeCell ref="D6:E7"/>
    <mergeCell ref="F6:G7"/>
    <mergeCell ref="AG4:AI4"/>
    <mergeCell ref="AJ4:AK4"/>
    <mergeCell ref="AG5:AI5"/>
    <mergeCell ref="AJ5:AK5"/>
    <mergeCell ref="D9:E9"/>
    <mergeCell ref="F9:G9"/>
    <mergeCell ref="D10:E10"/>
    <mergeCell ref="F10:G10"/>
    <mergeCell ref="AH13:AJ13"/>
    <mergeCell ref="D11:E11"/>
    <mergeCell ref="D8:E8"/>
    <mergeCell ref="F8:G8"/>
    <mergeCell ref="N9:Q9"/>
    <mergeCell ref="H10:J10"/>
    <mergeCell ref="K10:M10"/>
    <mergeCell ref="N10:Q10"/>
    <mergeCell ref="D16:E16"/>
    <mergeCell ref="F16:G16"/>
    <mergeCell ref="N11:Q11"/>
    <mergeCell ref="H11:J11"/>
    <mergeCell ref="K11:M11"/>
    <mergeCell ref="D13:E13"/>
    <mergeCell ref="F13:G13"/>
    <mergeCell ref="D14:E14"/>
    <mergeCell ref="F14:G14"/>
    <mergeCell ref="K13:M13"/>
    <mergeCell ref="N13:Q13"/>
    <mergeCell ref="D12:E12"/>
    <mergeCell ref="F11:G11"/>
    <mergeCell ref="F12:G12"/>
    <mergeCell ref="H12:J12"/>
    <mergeCell ref="K12:M12"/>
    <mergeCell ref="N12:Q12"/>
    <mergeCell ref="H13:J13"/>
    <mergeCell ref="K38:M38"/>
    <mergeCell ref="N38:Q38"/>
    <mergeCell ref="D15:E15"/>
    <mergeCell ref="F15:G15"/>
    <mergeCell ref="H14:J14"/>
    <mergeCell ref="K14:M14"/>
    <mergeCell ref="N14:Q14"/>
    <mergeCell ref="H15:J15"/>
    <mergeCell ref="K15:M15"/>
    <mergeCell ref="N15:Q15"/>
    <mergeCell ref="D17:E17"/>
    <mergeCell ref="F17:G17"/>
    <mergeCell ref="H17:J17"/>
    <mergeCell ref="K17:M17"/>
    <mergeCell ref="N17:Q17"/>
    <mergeCell ref="D18:E18"/>
    <mergeCell ref="F18:G18"/>
    <mergeCell ref="H18:J18"/>
    <mergeCell ref="K18:M18"/>
    <mergeCell ref="N18:Q18"/>
    <mergeCell ref="D19:E19"/>
    <mergeCell ref="F19:G19"/>
    <mergeCell ref="H19:J19"/>
    <mergeCell ref="K19:M19"/>
    <mergeCell ref="C41:AK41"/>
    <mergeCell ref="H7:J7"/>
    <mergeCell ref="K7:M7"/>
    <mergeCell ref="H6:Q6"/>
    <mergeCell ref="N7:Q7"/>
    <mergeCell ref="H8:J8"/>
    <mergeCell ref="K8:M8"/>
    <mergeCell ref="N8:Q8"/>
    <mergeCell ref="H9:J9"/>
    <mergeCell ref="K9:M9"/>
    <mergeCell ref="C40:K40"/>
    <mergeCell ref="L40:T40"/>
    <mergeCell ref="U40:AC40"/>
    <mergeCell ref="AD40:AL40"/>
    <mergeCell ref="C39:AL39"/>
    <mergeCell ref="D38:E38"/>
    <mergeCell ref="F38:G38"/>
    <mergeCell ref="H16:J16"/>
    <mergeCell ref="K16:M16"/>
    <mergeCell ref="N16:Q16"/>
    <mergeCell ref="Z17:AB17"/>
    <mergeCell ref="AC16:AG16"/>
    <mergeCell ref="AC17:AG17"/>
    <mergeCell ref="H38:J38"/>
    <mergeCell ref="AK6:AL7"/>
    <mergeCell ref="R8:S8"/>
    <mergeCell ref="T8:U8"/>
    <mergeCell ref="V8:W8"/>
    <mergeCell ref="X8:Y8"/>
    <mergeCell ref="R6:Y6"/>
    <mergeCell ref="R7:S7"/>
    <mergeCell ref="V7:W7"/>
    <mergeCell ref="X7:Y7"/>
    <mergeCell ref="T7:U7"/>
    <mergeCell ref="AC8:AG8"/>
    <mergeCell ref="AH8:AJ8"/>
    <mergeCell ref="Z8:AB8"/>
    <mergeCell ref="AC6:AG7"/>
    <mergeCell ref="AH6:AJ7"/>
    <mergeCell ref="AK8:AL8"/>
    <mergeCell ref="V12:W12"/>
    <mergeCell ref="R13:S13"/>
    <mergeCell ref="T13:U13"/>
    <mergeCell ref="V13:W13"/>
    <mergeCell ref="Z14:AB14"/>
    <mergeCell ref="Z15:AB15"/>
    <mergeCell ref="R11:S11"/>
    <mergeCell ref="T11:U11"/>
    <mergeCell ref="V11:W11"/>
    <mergeCell ref="Z12:AB12"/>
    <mergeCell ref="Z13:AB13"/>
    <mergeCell ref="R15:S15"/>
    <mergeCell ref="T15:U15"/>
    <mergeCell ref="V15:W15"/>
    <mergeCell ref="X15:Y15"/>
    <mergeCell ref="AC14:AG14"/>
    <mergeCell ref="AC15:AG15"/>
    <mergeCell ref="AH14:AJ14"/>
    <mergeCell ref="AH15:AJ15"/>
    <mergeCell ref="AC12:AG12"/>
    <mergeCell ref="AC13:AG13"/>
    <mergeCell ref="AH12:AJ12"/>
    <mergeCell ref="AK16:AL16"/>
    <mergeCell ref="AK17:AL17"/>
    <mergeCell ref="AH16:AJ16"/>
    <mergeCell ref="AH17:AJ17"/>
    <mergeCell ref="AK9:AL9"/>
    <mergeCell ref="AK10:AL10"/>
    <mergeCell ref="AK11:AL11"/>
    <mergeCell ref="AK12:AL12"/>
    <mergeCell ref="AK13:AL13"/>
    <mergeCell ref="AK14:AL14"/>
    <mergeCell ref="AK15:AL15"/>
    <mergeCell ref="AH11:AJ11"/>
    <mergeCell ref="AH10:AJ10"/>
    <mergeCell ref="N2:AF2"/>
    <mergeCell ref="N3:AF3"/>
    <mergeCell ref="L3:L4"/>
    <mergeCell ref="M3:M4"/>
    <mergeCell ref="N4:AF4"/>
    <mergeCell ref="N5:AF5"/>
    <mergeCell ref="C3:C4"/>
    <mergeCell ref="D3:D4"/>
    <mergeCell ref="E3:E4"/>
    <mergeCell ref="F3:F4"/>
    <mergeCell ref="G3:G4"/>
    <mergeCell ref="H3:H4"/>
    <mergeCell ref="I3:I4"/>
    <mergeCell ref="J3:J4"/>
    <mergeCell ref="K3:K4"/>
    <mergeCell ref="N19:Q19"/>
    <mergeCell ref="D20:E20"/>
    <mergeCell ref="F20:G20"/>
    <mergeCell ref="H20:J20"/>
    <mergeCell ref="K20:M20"/>
    <mergeCell ref="N20:Q20"/>
    <mergeCell ref="D21:E21"/>
    <mergeCell ref="F21:G21"/>
    <mergeCell ref="H21:J21"/>
    <mergeCell ref="K21:M21"/>
    <mergeCell ref="N21:Q21"/>
    <mergeCell ref="D22:E22"/>
    <mergeCell ref="F22:G22"/>
    <mergeCell ref="H22:J22"/>
    <mergeCell ref="K22:M22"/>
    <mergeCell ref="N22:Q22"/>
    <mergeCell ref="D23:E23"/>
    <mergeCell ref="F23:G23"/>
    <mergeCell ref="H23:J23"/>
    <mergeCell ref="K23:M23"/>
    <mergeCell ref="N23:Q23"/>
    <mergeCell ref="D24:E24"/>
    <mergeCell ref="F24:G24"/>
    <mergeCell ref="H24:J24"/>
    <mergeCell ref="K24:M24"/>
    <mergeCell ref="N24:Q24"/>
    <mergeCell ref="D25:E25"/>
    <mergeCell ref="F25:G25"/>
    <mergeCell ref="H25:J25"/>
    <mergeCell ref="K25:M25"/>
    <mergeCell ref="N25:Q25"/>
    <mergeCell ref="D26:E26"/>
    <mergeCell ref="F26:G26"/>
    <mergeCell ref="H26:J26"/>
    <mergeCell ref="K26:M26"/>
    <mergeCell ref="N26:Q26"/>
    <mergeCell ref="D27:E27"/>
    <mergeCell ref="F27:G27"/>
    <mergeCell ref="H27:J27"/>
    <mergeCell ref="K27:M27"/>
    <mergeCell ref="N27:Q27"/>
    <mergeCell ref="D28:E28"/>
    <mergeCell ref="F28:G28"/>
    <mergeCell ref="H28:J28"/>
    <mergeCell ref="K28:M28"/>
    <mergeCell ref="N28:Q28"/>
    <mergeCell ref="D29:E29"/>
    <mergeCell ref="F29:G29"/>
    <mergeCell ref="H29:J29"/>
    <mergeCell ref="K29:M29"/>
    <mergeCell ref="N29:Q29"/>
    <mergeCell ref="D30:E30"/>
    <mergeCell ref="F30:G30"/>
    <mergeCell ref="H30:J30"/>
    <mergeCell ref="K30:M30"/>
    <mergeCell ref="N30:Q30"/>
    <mergeCell ref="D31:E31"/>
    <mergeCell ref="F31:G31"/>
    <mergeCell ref="H31:J31"/>
    <mergeCell ref="K31:M31"/>
    <mergeCell ref="N31:Q31"/>
    <mergeCell ref="D32:E32"/>
    <mergeCell ref="F32:G32"/>
    <mergeCell ref="H32:J32"/>
    <mergeCell ref="K32:M32"/>
    <mergeCell ref="N32:Q32"/>
    <mergeCell ref="D33:E33"/>
    <mergeCell ref="F33:G33"/>
    <mergeCell ref="H33:J33"/>
    <mergeCell ref="K33:M33"/>
    <mergeCell ref="N33:Q33"/>
    <mergeCell ref="D34:E34"/>
    <mergeCell ref="F34:G34"/>
    <mergeCell ref="H34:J34"/>
    <mergeCell ref="K34:M34"/>
    <mergeCell ref="N34:Q34"/>
    <mergeCell ref="D35:E35"/>
    <mergeCell ref="F35:G35"/>
    <mergeCell ref="H35:J35"/>
    <mergeCell ref="K35:M35"/>
    <mergeCell ref="N35:Q35"/>
    <mergeCell ref="D36:E36"/>
    <mergeCell ref="F36:G36"/>
    <mergeCell ref="H36:J36"/>
    <mergeCell ref="K36:M36"/>
    <mergeCell ref="N36:Q36"/>
    <mergeCell ref="D37:E37"/>
    <mergeCell ref="F37:G37"/>
    <mergeCell ref="H37:J37"/>
    <mergeCell ref="K37:M37"/>
    <mergeCell ref="N37:Q37"/>
    <mergeCell ref="R9:S9"/>
    <mergeCell ref="T9:U9"/>
    <mergeCell ref="V9:W9"/>
    <mergeCell ref="X9:Y9"/>
    <mergeCell ref="AC9:AG9"/>
    <mergeCell ref="AH9:AJ9"/>
    <mergeCell ref="R14:S14"/>
    <mergeCell ref="T14:U14"/>
    <mergeCell ref="V14:W14"/>
    <mergeCell ref="T10:U10"/>
    <mergeCell ref="V10:W10"/>
    <mergeCell ref="X10:Y10"/>
    <mergeCell ref="X11:Y11"/>
    <mergeCell ref="X12:Y12"/>
    <mergeCell ref="X13:Y13"/>
    <mergeCell ref="X14:Y14"/>
    <mergeCell ref="Z9:AB9"/>
    <mergeCell ref="Z10:AB10"/>
    <mergeCell ref="Z11:AB11"/>
    <mergeCell ref="AC11:AG11"/>
    <mergeCell ref="AC10:AG10"/>
    <mergeCell ref="R10:S10"/>
    <mergeCell ref="R12:S12"/>
    <mergeCell ref="T12:U12"/>
    <mergeCell ref="X16:Y16"/>
    <mergeCell ref="R17:S17"/>
    <mergeCell ref="T17:U17"/>
    <mergeCell ref="V17:W17"/>
    <mergeCell ref="R18:S18"/>
    <mergeCell ref="T18:U18"/>
    <mergeCell ref="V18:W18"/>
    <mergeCell ref="X18:Y18"/>
    <mergeCell ref="Z18:AB18"/>
    <mergeCell ref="X17:Y17"/>
    <mergeCell ref="R16:S16"/>
    <mergeCell ref="T16:U16"/>
    <mergeCell ref="V16:W16"/>
    <mergeCell ref="Z16:AB16"/>
    <mergeCell ref="AC18:AG18"/>
    <mergeCell ref="AH18:AJ18"/>
    <mergeCell ref="AK18:AL18"/>
    <mergeCell ref="R19:S19"/>
    <mergeCell ref="T19:U19"/>
    <mergeCell ref="V19:W19"/>
    <mergeCell ref="X19:Y19"/>
    <mergeCell ref="Z19:AB19"/>
    <mergeCell ref="AC19:AG19"/>
    <mergeCell ref="AH19:AJ19"/>
    <mergeCell ref="AK19:AL19"/>
    <mergeCell ref="R20:S20"/>
    <mergeCell ref="T20:U20"/>
    <mergeCell ref="V20:W20"/>
    <mergeCell ref="X20:Y20"/>
    <mergeCell ref="Z20:AB20"/>
    <mergeCell ref="AC20:AG20"/>
    <mergeCell ref="AH20:AJ20"/>
    <mergeCell ref="AK20:AL20"/>
    <mergeCell ref="R21:S21"/>
    <mergeCell ref="T21:U21"/>
    <mergeCell ref="V21:W21"/>
    <mergeCell ref="X21:Y21"/>
    <mergeCell ref="Z21:AB21"/>
    <mergeCell ref="AC21:AG21"/>
    <mergeCell ref="AH21:AJ21"/>
    <mergeCell ref="AK21:AL21"/>
    <mergeCell ref="R22:S22"/>
    <mergeCell ref="T22:U22"/>
    <mergeCell ref="V22:W22"/>
    <mergeCell ref="X22:Y22"/>
    <mergeCell ref="Z22:AB22"/>
    <mergeCell ref="AC22:AG22"/>
    <mergeCell ref="AH22:AJ22"/>
    <mergeCell ref="AK22:AL22"/>
    <mergeCell ref="R23:S23"/>
    <mergeCell ref="T23:U23"/>
    <mergeCell ref="V23:W23"/>
    <mergeCell ref="X23:Y23"/>
    <mergeCell ref="Z23:AB23"/>
    <mergeCell ref="AC23:AG23"/>
    <mergeCell ref="AH23:AJ23"/>
    <mergeCell ref="AK23:AL23"/>
    <mergeCell ref="R24:S24"/>
    <mergeCell ref="T24:U24"/>
    <mergeCell ref="V24:W24"/>
    <mergeCell ref="X24:Y24"/>
    <mergeCell ref="Z24:AB24"/>
    <mergeCell ref="AC24:AG24"/>
    <mergeCell ref="AH24:AJ24"/>
    <mergeCell ref="AK24:AL24"/>
    <mergeCell ref="R25:S25"/>
    <mergeCell ref="T25:U25"/>
    <mergeCell ref="V25:W25"/>
    <mergeCell ref="X25:Y25"/>
    <mergeCell ref="Z25:AB25"/>
    <mergeCell ref="AC25:AG25"/>
    <mergeCell ref="AH25:AJ25"/>
    <mergeCell ref="AK25:AL25"/>
    <mergeCell ref="R26:S26"/>
    <mergeCell ref="T26:U26"/>
    <mergeCell ref="V26:W26"/>
    <mergeCell ref="X26:Y26"/>
    <mergeCell ref="Z26:AB26"/>
    <mergeCell ref="AC26:AG26"/>
    <mergeCell ref="AH26:AJ26"/>
    <mergeCell ref="AK26:AL26"/>
    <mergeCell ref="R27:S27"/>
    <mergeCell ref="T27:U27"/>
    <mergeCell ref="V27:W27"/>
    <mergeCell ref="X27:Y27"/>
    <mergeCell ref="Z27:AB27"/>
    <mergeCell ref="AC27:AG27"/>
    <mergeCell ref="AH27:AJ27"/>
    <mergeCell ref="AK27:AL27"/>
    <mergeCell ref="R28:S28"/>
    <mergeCell ref="T28:U28"/>
    <mergeCell ref="V28:W28"/>
    <mergeCell ref="X28:Y28"/>
    <mergeCell ref="Z28:AB28"/>
    <mergeCell ref="AC28:AG28"/>
    <mergeCell ref="AH28:AJ28"/>
    <mergeCell ref="AK28:AL28"/>
    <mergeCell ref="R29:S29"/>
    <mergeCell ref="T29:U29"/>
    <mergeCell ref="V29:W29"/>
    <mergeCell ref="X29:Y29"/>
    <mergeCell ref="Z29:AB29"/>
    <mergeCell ref="AC29:AG29"/>
    <mergeCell ref="AH29:AJ29"/>
    <mergeCell ref="AK29:AL29"/>
    <mergeCell ref="R30:S30"/>
    <mergeCell ref="T30:U30"/>
    <mergeCell ref="V30:W30"/>
    <mergeCell ref="X30:Y30"/>
    <mergeCell ref="Z30:AB30"/>
    <mergeCell ref="AC30:AG30"/>
    <mergeCell ref="AH30:AJ30"/>
    <mergeCell ref="AK30:AL30"/>
    <mergeCell ref="R31:S31"/>
    <mergeCell ref="T31:U31"/>
    <mergeCell ref="V31:W31"/>
    <mergeCell ref="X31:Y31"/>
    <mergeCell ref="Z31:AB31"/>
    <mergeCell ref="AC31:AG31"/>
    <mergeCell ref="AH31:AJ31"/>
    <mergeCell ref="AK31:AL31"/>
    <mergeCell ref="R32:S32"/>
    <mergeCell ref="T32:U32"/>
    <mergeCell ref="V32:W32"/>
    <mergeCell ref="X32:Y32"/>
    <mergeCell ref="Z32:AB32"/>
    <mergeCell ref="AC32:AG32"/>
    <mergeCell ref="AH32:AJ32"/>
    <mergeCell ref="AK32:AL32"/>
    <mergeCell ref="R33:S33"/>
    <mergeCell ref="T33:U33"/>
    <mergeCell ref="V33:W33"/>
    <mergeCell ref="X33:Y33"/>
    <mergeCell ref="Z33:AB33"/>
    <mergeCell ref="AC33:AG33"/>
    <mergeCell ref="AH33:AJ33"/>
    <mergeCell ref="AK33:AL33"/>
    <mergeCell ref="R34:S34"/>
    <mergeCell ref="T34:U34"/>
    <mergeCell ref="V34:W34"/>
    <mergeCell ref="X34:Y34"/>
    <mergeCell ref="Z34:AB34"/>
    <mergeCell ref="AC34:AG34"/>
    <mergeCell ref="AH34:AJ34"/>
    <mergeCell ref="AK34:AL34"/>
    <mergeCell ref="R35:S35"/>
    <mergeCell ref="T35:U35"/>
    <mergeCell ref="V35:W35"/>
    <mergeCell ref="X35:Y35"/>
    <mergeCell ref="Z35:AB35"/>
    <mergeCell ref="AC35:AG35"/>
    <mergeCell ref="AH35:AJ35"/>
    <mergeCell ref="AK35:AL35"/>
    <mergeCell ref="R38:S38"/>
    <mergeCell ref="T38:U38"/>
    <mergeCell ref="V38:W38"/>
    <mergeCell ref="X38:Y38"/>
    <mergeCell ref="Z38:AB38"/>
    <mergeCell ref="AC38:AG38"/>
    <mergeCell ref="AH38:AJ38"/>
    <mergeCell ref="AK38:AL38"/>
    <mergeCell ref="R36:S36"/>
    <mergeCell ref="T36:U36"/>
    <mergeCell ref="V36:W36"/>
    <mergeCell ref="X36:Y36"/>
    <mergeCell ref="Z36:AB36"/>
    <mergeCell ref="AC36:AG36"/>
    <mergeCell ref="AH36:AJ36"/>
    <mergeCell ref="AK36:AL36"/>
    <mergeCell ref="R37:S37"/>
    <mergeCell ref="T37:U37"/>
    <mergeCell ref="V37:W37"/>
    <mergeCell ref="X37:Y37"/>
    <mergeCell ref="Z37:AB37"/>
    <mergeCell ref="AC37:AG37"/>
    <mergeCell ref="AH37:AJ37"/>
    <mergeCell ref="AK37:AL37"/>
  </mergeCells>
  <conditionalFormatting sqref="R8:R38 AI9:AL38 AC8:AC38 H8:H38 K8:K38 N8:N38 Z8:Z38 X8:X38 T8:T38 V8:V38 AC10:AG38 AH17:AL37 AH8:AH38 AK8:AK38 H9:AC38 H25:AL37">
    <cfRule type="expression" dxfId="3" priority="3">
      <formula>$D8=0</formula>
    </cfRule>
  </conditionalFormatting>
  <conditionalFormatting sqref="B8:B38 H8:AL38">
    <cfRule type="expression" dxfId="2" priority="1">
      <formula>$B8="--"</formula>
    </cfRule>
    <cfRule type="expression" dxfId="1" priority="2">
      <formula>$B8=0</formula>
    </cfRule>
  </conditionalFormatting>
  <pageMargins left="0.21" right="0.18" top="0.22" bottom="0.24" header="0.19" footer="0.2"/>
  <pageSetup paperSize="9" scale="55" orientation="landscape" r:id="rId1"/>
</worksheet>
</file>

<file path=xl/worksheets/sheet11.xml><?xml version="1.0" encoding="utf-8"?>
<worksheet xmlns="http://schemas.openxmlformats.org/spreadsheetml/2006/main" xmlns:r="http://schemas.openxmlformats.org/officeDocument/2006/relationships">
  <sheetPr>
    <tabColor rgb="FF7030A0"/>
  </sheetPr>
  <dimension ref="A1:AO31"/>
  <sheetViews>
    <sheetView topLeftCell="A3" workbookViewId="0">
      <selection activeCell="E16" sqref="E16:F16"/>
    </sheetView>
  </sheetViews>
  <sheetFormatPr defaultColWidth="0" defaultRowHeight="15" zeroHeight="1"/>
  <cols>
    <col min="1" max="1" width="2" style="17" customWidth="1"/>
    <col min="2" max="2" width="8" style="33" bestFit="1" customWidth="1"/>
    <col min="3" max="3" width="12.28515625" style="33" customWidth="1"/>
    <col min="4" max="4" width="9.140625" style="33" customWidth="1"/>
    <col min="5" max="5" width="11.28515625" style="33" customWidth="1"/>
    <col min="6" max="6" width="9.42578125" style="33" customWidth="1"/>
    <col min="7" max="13" width="9.28515625" style="33" customWidth="1"/>
    <col min="14" max="14" width="9" style="17" customWidth="1"/>
    <col min="15" max="15" width="3.85546875" style="17" customWidth="1"/>
    <col min="16" max="20" width="16.7109375" style="33" customWidth="1"/>
    <col min="21" max="21" width="3.85546875" style="33" customWidth="1"/>
    <col min="22" max="22" width="3.85546875" style="17" customWidth="1"/>
    <col min="23" max="27" width="16.7109375" style="33" customWidth="1"/>
    <col min="28" max="28" width="3.85546875" style="33" customWidth="1"/>
    <col min="29" max="29" width="3.85546875" style="17" customWidth="1"/>
    <col min="30" max="34" width="16.7109375" style="33" customWidth="1"/>
    <col min="35" max="35" width="3.85546875" style="17" customWidth="1"/>
    <col min="36" max="40" width="16.7109375" style="33" customWidth="1"/>
    <col min="41" max="41" width="4.140625" style="17" customWidth="1"/>
    <col min="42" max="16384" width="9.140625" style="17" hidden="1"/>
  </cols>
  <sheetData>
    <row r="1" spans="1:41" ht="15.75" thickBot="1">
      <c r="A1" s="1722"/>
      <c r="B1" s="1722"/>
      <c r="C1" s="1722"/>
      <c r="D1" s="1722"/>
      <c r="E1" s="1722"/>
      <c r="F1" s="1722"/>
      <c r="G1" s="1722"/>
      <c r="H1" s="1722"/>
      <c r="I1" s="1722"/>
      <c r="J1" s="1722"/>
      <c r="K1" s="1722"/>
      <c r="L1" s="1722"/>
      <c r="M1" s="1722"/>
      <c r="N1" s="1722"/>
      <c r="O1" s="1721"/>
      <c r="P1" s="1706" t="s">
        <v>395</v>
      </c>
      <c r="Q1" s="1707"/>
      <c r="R1" s="1707"/>
      <c r="S1" s="1707"/>
      <c r="T1" s="1708"/>
      <c r="U1" s="1721"/>
      <c r="V1" s="1721"/>
      <c r="W1" s="1706" t="s">
        <v>395</v>
      </c>
      <c r="X1" s="1707"/>
      <c r="Y1" s="1707"/>
      <c r="Z1" s="1707"/>
      <c r="AA1" s="1708"/>
      <c r="AB1" s="1721"/>
      <c r="AC1" s="1721"/>
      <c r="AD1" s="1706" t="s">
        <v>395</v>
      </c>
      <c r="AE1" s="1707"/>
      <c r="AF1" s="1707"/>
      <c r="AG1" s="1707"/>
      <c r="AH1" s="1708"/>
      <c r="AI1" s="1721"/>
      <c r="AJ1" s="1706" t="s">
        <v>395</v>
      </c>
      <c r="AK1" s="1707"/>
      <c r="AL1" s="1707"/>
      <c r="AM1" s="1707"/>
      <c r="AN1" s="1708"/>
      <c r="AO1" s="1756"/>
    </row>
    <row r="2" spans="1:41" ht="33.75" customHeight="1" thickBot="1">
      <c r="A2" s="1722"/>
      <c r="B2" s="1763" t="s">
        <v>394</v>
      </c>
      <c r="C2" s="1764"/>
      <c r="D2" s="1764"/>
      <c r="E2" s="1764"/>
      <c r="F2" s="1764"/>
      <c r="G2" s="1765"/>
      <c r="H2" s="1760" t="s">
        <v>450</v>
      </c>
      <c r="I2" s="1761"/>
      <c r="J2" s="1761"/>
      <c r="K2" s="1761"/>
      <c r="L2" s="1761"/>
      <c r="M2" s="1761"/>
      <c r="N2" s="1762"/>
      <c r="O2" s="1721"/>
      <c r="P2" s="1709" t="s">
        <v>396</v>
      </c>
      <c r="Q2" s="1710"/>
      <c r="R2" s="1710"/>
      <c r="S2" s="1710"/>
      <c r="T2" s="1711"/>
      <c r="U2" s="1721"/>
      <c r="V2" s="1721"/>
      <c r="W2" s="1709" t="s">
        <v>396</v>
      </c>
      <c r="X2" s="1710"/>
      <c r="Y2" s="1710"/>
      <c r="Z2" s="1710"/>
      <c r="AA2" s="1711"/>
      <c r="AB2" s="1721"/>
      <c r="AC2" s="1721"/>
      <c r="AD2" s="1709" t="s">
        <v>396</v>
      </c>
      <c r="AE2" s="1710"/>
      <c r="AF2" s="1710"/>
      <c r="AG2" s="1710"/>
      <c r="AH2" s="1711"/>
      <c r="AI2" s="1721"/>
      <c r="AJ2" s="1709" t="s">
        <v>396</v>
      </c>
      <c r="AK2" s="1710"/>
      <c r="AL2" s="1710"/>
      <c r="AM2" s="1710"/>
      <c r="AN2" s="1711"/>
      <c r="AO2" s="1756"/>
    </row>
    <row r="3" spans="1:41" ht="44.25" customHeight="1">
      <c r="A3" s="1722"/>
      <c r="B3" s="229" t="s">
        <v>392</v>
      </c>
      <c r="C3" s="230" t="s">
        <v>407</v>
      </c>
      <c r="D3" s="230" t="s">
        <v>158</v>
      </c>
      <c r="E3" s="230" t="s">
        <v>408</v>
      </c>
      <c r="F3" s="230" t="s">
        <v>158</v>
      </c>
      <c r="G3" s="231" t="s">
        <v>448</v>
      </c>
      <c r="H3" s="1662" t="s">
        <v>207</v>
      </c>
      <c r="I3" s="1664" t="s">
        <v>156</v>
      </c>
      <c r="J3" s="1665"/>
      <c r="K3" s="1668" t="s">
        <v>284</v>
      </c>
      <c r="L3" s="1670" t="s">
        <v>234</v>
      </c>
      <c r="M3" s="1664" t="s">
        <v>449</v>
      </c>
      <c r="N3" s="1672"/>
      <c r="O3" s="1721"/>
      <c r="P3" s="232" t="s">
        <v>402</v>
      </c>
      <c r="Q3" s="1712"/>
      <c r="R3" s="1712"/>
      <c r="S3" s="1712"/>
      <c r="T3" s="1713"/>
      <c r="U3" s="1721"/>
      <c r="V3" s="1721"/>
      <c r="W3" s="232" t="s">
        <v>402</v>
      </c>
      <c r="X3" s="1712"/>
      <c r="Y3" s="1712"/>
      <c r="Z3" s="1712"/>
      <c r="AA3" s="1713"/>
      <c r="AB3" s="1721"/>
      <c r="AC3" s="1721"/>
      <c r="AD3" s="232" t="s">
        <v>402</v>
      </c>
      <c r="AE3" s="1712"/>
      <c r="AF3" s="1712"/>
      <c r="AG3" s="1712"/>
      <c r="AH3" s="1713"/>
      <c r="AI3" s="1721"/>
      <c r="AJ3" s="232" t="s">
        <v>402</v>
      </c>
      <c r="AK3" s="1712"/>
      <c r="AL3" s="1712"/>
      <c r="AM3" s="1712"/>
      <c r="AN3" s="1713"/>
      <c r="AO3" s="1756"/>
    </row>
    <row r="4" spans="1:41" ht="16.5" thickBot="1">
      <c r="A4" s="1722"/>
      <c r="B4" s="254" t="s">
        <v>376</v>
      </c>
      <c r="C4" s="439">
        <v>5.0000000000000001E-3</v>
      </c>
      <c r="D4" s="440">
        <f>$K$6</f>
        <v>761</v>
      </c>
      <c r="E4" s="439">
        <v>7.4999999999999997E-3</v>
      </c>
      <c r="F4" s="440">
        <f>$K$8</f>
        <v>312</v>
      </c>
      <c r="G4" s="441">
        <v>90</v>
      </c>
      <c r="H4" s="1663"/>
      <c r="I4" s="1666"/>
      <c r="J4" s="1667"/>
      <c r="K4" s="1669"/>
      <c r="L4" s="1671"/>
      <c r="M4" s="1666"/>
      <c r="N4" s="1673"/>
      <c r="O4" s="1721"/>
      <c r="P4" s="233" t="s">
        <v>403</v>
      </c>
      <c r="Q4" s="1714"/>
      <c r="R4" s="1714"/>
      <c r="S4" s="1714"/>
      <c r="T4" s="1715"/>
      <c r="U4" s="1721"/>
      <c r="V4" s="1721"/>
      <c r="W4" s="233" t="s">
        <v>403</v>
      </c>
      <c r="X4" s="1714"/>
      <c r="Y4" s="1714"/>
      <c r="Z4" s="1714"/>
      <c r="AA4" s="1715"/>
      <c r="AB4" s="1721"/>
      <c r="AC4" s="1721"/>
      <c r="AD4" s="233" t="s">
        <v>403</v>
      </c>
      <c r="AE4" s="1714"/>
      <c r="AF4" s="1714"/>
      <c r="AG4" s="1714"/>
      <c r="AH4" s="1715"/>
      <c r="AI4" s="1721"/>
      <c r="AJ4" s="233" t="s">
        <v>403</v>
      </c>
      <c r="AK4" s="1714"/>
      <c r="AL4" s="1714"/>
      <c r="AM4" s="1714"/>
      <c r="AN4" s="1715"/>
      <c r="AO4" s="1756"/>
    </row>
    <row r="5" spans="1:41" ht="19.5" customHeight="1" thickBot="1">
      <c r="A5" s="1722"/>
      <c r="B5" s="254" t="s">
        <v>377</v>
      </c>
      <c r="C5" s="439">
        <v>0.02</v>
      </c>
      <c r="D5" s="442">
        <f>K13</f>
        <v>0</v>
      </c>
      <c r="E5" s="439">
        <v>0.03</v>
      </c>
      <c r="F5" s="442">
        <f>M13</f>
        <v>0</v>
      </c>
      <c r="G5" s="441">
        <v>85</v>
      </c>
      <c r="H5" s="425">
        <v>1</v>
      </c>
      <c r="I5" s="427">
        <v>2</v>
      </c>
      <c r="J5" s="428"/>
      <c r="K5" s="426">
        <v>3</v>
      </c>
      <c r="L5" s="426">
        <v>4</v>
      </c>
      <c r="M5" s="427">
        <v>5</v>
      </c>
      <c r="N5" s="429"/>
      <c r="O5" s="1721"/>
      <c r="P5" s="234" t="s">
        <v>400</v>
      </c>
      <c r="Q5" s="1716"/>
      <c r="R5" s="1716"/>
      <c r="S5" s="235" t="s">
        <v>401</v>
      </c>
      <c r="T5" s="256"/>
      <c r="U5" s="1721"/>
      <c r="V5" s="1721"/>
      <c r="W5" s="234" t="s">
        <v>400</v>
      </c>
      <c r="X5" s="1716"/>
      <c r="Y5" s="1716"/>
      <c r="Z5" s="235" t="s">
        <v>401</v>
      </c>
      <c r="AA5" s="256"/>
      <c r="AB5" s="1721"/>
      <c r="AC5" s="1721"/>
      <c r="AD5" s="234" t="s">
        <v>400</v>
      </c>
      <c r="AE5" s="1716"/>
      <c r="AF5" s="1716"/>
      <c r="AG5" s="235" t="s">
        <v>401</v>
      </c>
      <c r="AH5" s="256"/>
      <c r="AI5" s="1721"/>
      <c r="AJ5" s="234" t="s">
        <v>400</v>
      </c>
      <c r="AK5" s="1716"/>
      <c r="AL5" s="1716"/>
      <c r="AM5" s="235" t="s">
        <v>401</v>
      </c>
      <c r="AN5" s="256"/>
      <c r="AO5" s="1756"/>
    </row>
    <row r="6" spans="1:41" ht="15.75" customHeight="1">
      <c r="A6" s="1722"/>
      <c r="B6" s="254" t="s">
        <v>378</v>
      </c>
      <c r="C6" s="439">
        <v>2E-3</v>
      </c>
      <c r="D6" s="440">
        <f t="shared" ref="D6:D12" si="0">$K$6</f>
        <v>761</v>
      </c>
      <c r="E6" s="439">
        <v>2.5000000000000001E-3</v>
      </c>
      <c r="F6" s="440">
        <f t="shared" ref="F6:F12" si="1">$K$8</f>
        <v>312</v>
      </c>
      <c r="G6" s="441">
        <v>190</v>
      </c>
      <c r="H6" s="1662" t="s">
        <v>388</v>
      </c>
      <c r="I6" s="1682">
        <f>Namankan!M10</f>
        <v>345</v>
      </c>
      <c r="J6" s="1683"/>
      <c r="K6" s="1680">
        <f>MPR!B15</f>
        <v>761</v>
      </c>
      <c r="L6" s="1678">
        <f>'School Info'!E15</f>
        <v>6.78</v>
      </c>
      <c r="M6" s="1674">
        <f>SUM(K6*L6)</f>
        <v>5159.58</v>
      </c>
      <c r="N6" s="1675"/>
      <c r="O6" s="1721"/>
      <c r="P6" s="1696" t="str">
        <f>CONCATENATE("To:-","  ",'School Info'!$D$4)</f>
        <v>To:-  Govt. Sr. Sec. School Raimalwada, Bapini (Phalodi)</v>
      </c>
      <c r="Q6" s="1697"/>
      <c r="R6" s="1697"/>
      <c r="S6" s="1697"/>
      <c r="T6" s="1698"/>
      <c r="U6" s="1721"/>
      <c r="V6" s="1721"/>
      <c r="W6" s="1696" t="str">
        <f>CONCATENATE("To:-","  ",'School Info'!$D$4)</f>
        <v>To:-  Govt. Sr. Sec. School Raimalwada, Bapini (Phalodi)</v>
      </c>
      <c r="X6" s="1697"/>
      <c r="Y6" s="1697"/>
      <c r="Z6" s="1697"/>
      <c r="AA6" s="1698"/>
      <c r="AB6" s="1721"/>
      <c r="AC6" s="1721"/>
      <c r="AD6" s="1696" t="str">
        <f>CONCATENATE("To:-","  ",'School Info'!$D$4)</f>
        <v>To:-  Govt. Sr. Sec. School Raimalwada, Bapini (Phalodi)</v>
      </c>
      <c r="AE6" s="1697"/>
      <c r="AF6" s="1697"/>
      <c r="AG6" s="1697"/>
      <c r="AH6" s="1698"/>
      <c r="AI6" s="1721"/>
      <c r="AJ6" s="1696" t="str">
        <f>CONCATENATE("To:-","  ",'School Info'!$D$4)</f>
        <v>To:-  Govt. Sr. Sec. School Raimalwada, Bapini (Phalodi)</v>
      </c>
      <c r="AK6" s="1697"/>
      <c r="AL6" s="1697"/>
      <c r="AM6" s="1697"/>
      <c r="AN6" s="1698"/>
      <c r="AO6" s="1756"/>
    </row>
    <row r="7" spans="1:41" ht="15.75" customHeight="1" thickBot="1">
      <c r="A7" s="1722"/>
      <c r="B7" s="254" t="s">
        <v>379</v>
      </c>
      <c r="C7" s="439">
        <v>2E-3</v>
      </c>
      <c r="D7" s="440">
        <f t="shared" si="0"/>
        <v>761</v>
      </c>
      <c r="E7" s="439">
        <v>2.5000000000000001E-3</v>
      </c>
      <c r="F7" s="440">
        <f t="shared" si="1"/>
        <v>312</v>
      </c>
      <c r="G7" s="443">
        <v>80</v>
      </c>
      <c r="H7" s="1686"/>
      <c r="I7" s="1684"/>
      <c r="J7" s="1685"/>
      <c r="K7" s="1681"/>
      <c r="L7" s="1679"/>
      <c r="M7" s="1676"/>
      <c r="N7" s="1677"/>
      <c r="O7" s="1721"/>
      <c r="P7" s="1699"/>
      <c r="Q7" s="1700"/>
      <c r="R7" s="1700"/>
      <c r="S7" s="1700"/>
      <c r="T7" s="1701"/>
      <c r="U7" s="1721"/>
      <c r="V7" s="1721"/>
      <c r="W7" s="1699"/>
      <c r="X7" s="1700"/>
      <c r="Y7" s="1700"/>
      <c r="Z7" s="1700"/>
      <c r="AA7" s="1701"/>
      <c r="AB7" s="1721"/>
      <c r="AC7" s="1721"/>
      <c r="AD7" s="1699"/>
      <c r="AE7" s="1700"/>
      <c r="AF7" s="1700"/>
      <c r="AG7" s="1700"/>
      <c r="AH7" s="1701"/>
      <c r="AI7" s="1721"/>
      <c r="AJ7" s="1699"/>
      <c r="AK7" s="1700"/>
      <c r="AL7" s="1700"/>
      <c r="AM7" s="1700"/>
      <c r="AN7" s="1701"/>
      <c r="AO7" s="1756"/>
    </row>
    <row r="8" spans="1:41" ht="48" thickBot="1">
      <c r="A8" s="1722"/>
      <c r="B8" s="254" t="s">
        <v>380</v>
      </c>
      <c r="C8" s="439">
        <v>1E-3</v>
      </c>
      <c r="D8" s="440">
        <f t="shared" si="0"/>
        <v>761</v>
      </c>
      <c r="E8" s="439">
        <v>1.5E-3</v>
      </c>
      <c r="F8" s="440">
        <f t="shared" si="1"/>
        <v>312</v>
      </c>
      <c r="G8" s="443">
        <v>75</v>
      </c>
      <c r="H8" s="430" t="s">
        <v>389</v>
      </c>
      <c r="I8" s="1689">
        <f>Namankan!M14</f>
        <v>303</v>
      </c>
      <c r="J8" s="1690"/>
      <c r="K8" s="431">
        <f>MPR!I15</f>
        <v>312</v>
      </c>
      <c r="L8" s="432">
        <f>'School Info'!E16</f>
        <v>10.17</v>
      </c>
      <c r="M8" s="1687">
        <f>SUM(K8*L8)</f>
        <v>3173.04</v>
      </c>
      <c r="N8" s="1688"/>
      <c r="O8" s="1721"/>
      <c r="P8" s="1717" t="s">
        <v>397</v>
      </c>
      <c r="Q8" s="1719" t="s">
        <v>398</v>
      </c>
      <c r="R8" s="1719" t="s">
        <v>455</v>
      </c>
      <c r="S8" s="1719" t="s">
        <v>456</v>
      </c>
      <c r="T8" s="1702" t="s">
        <v>404</v>
      </c>
      <c r="U8" s="1721"/>
      <c r="V8" s="1721"/>
      <c r="W8" s="1717" t="s">
        <v>397</v>
      </c>
      <c r="X8" s="1719" t="s">
        <v>398</v>
      </c>
      <c r="Y8" s="1719" t="s">
        <v>455</v>
      </c>
      <c r="Z8" s="1719" t="s">
        <v>456</v>
      </c>
      <c r="AA8" s="1702" t="s">
        <v>404</v>
      </c>
      <c r="AB8" s="1721"/>
      <c r="AC8" s="1721"/>
      <c r="AD8" s="1717" t="s">
        <v>397</v>
      </c>
      <c r="AE8" s="1719" t="s">
        <v>398</v>
      </c>
      <c r="AF8" s="1719" t="s">
        <v>455</v>
      </c>
      <c r="AG8" s="1719" t="s">
        <v>456</v>
      </c>
      <c r="AH8" s="1702" t="s">
        <v>404</v>
      </c>
      <c r="AI8" s="1721"/>
      <c r="AJ8" s="1717" t="s">
        <v>397</v>
      </c>
      <c r="AK8" s="1719" t="s">
        <v>398</v>
      </c>
      <c r="AL8" s="1719" t="s">
        <v>455</v>
      </c>
      <c r="AM8" s="1719" t="s">
        <v>456</v>
      </c>
      <c r="AN8" s="1702" t="s">
        <v>404</v>
      </c>
      <c r="AO8" s="1756"/>
    </row>
    <row r="9" spans="1:41" ht="16.5" customHeight="1" thickBot="1">
      <c r="A9" s="1722"/>
      <c r="B9" s="254" t="s">
        <v>381</v>
      </c>
      <c r="C9" s="439">
        <v>1E-3</v>
      </c>
      <c r="D9" s="440">
        <f t="shared" si="0"/>
        <v>761</v>
      </c>
      <c r="E9" s="439">
        <v>1.5E-3</v>
      </c>
      <c r="F9" s="440">
        <f t="shared" si="1"/>
        <v>312</v>
      </c>
      <c r="G9" s="443">
        <v>75</v>
      </c>
      <c r="H9" s="1732" t="s">
        <v>260</v>
      </c>
      <c r="I9" s="1734">
        <f>SUM(I6:J8)</f>
        <v>648</v>
      </c>
      <c r="J9" s="1735"/>
      <c r="K9" s="1744">
        <f>SUM(K6:K8)</f>
        <v>1073</v>
      </c>
      <c r="L9" s="1742"/>
      <c r="M9" s="1738">
        <f>SUM(M6:N8)</f>
        <v>8332.619999999999</v>
      </c>
      <c r="N9" s="1739"/>
      <c r="O9" s="1721"/>
      <c r="P9" s="1718"/>
      <c r="Q9" s="1720"/>
      <c r="R9" s="1720"/>
      <c r="S9" s="1720"/>
      <c r="T9" s="1703"/>
      <c r="U9" s="1721"/>
      <c r="V9" s="1721"/>
      <c r="W9" s="1718"/>
      <c r="X9" s="1720"/>
      <c r="Y9" s="1720"/>
      <c r="Z9" s="1720"/>
      <c r="AA9" s="1703"/>
      <c r="AB9" s="1721"/>
      <c r="AC9" s="1721"/>
      <c r="AD9" s="1718"/>
      <c r="AE9" s="1720"/>
      <c r="AF9" s="1720"/>
      <c r="AG9" s="1720"/>
      <c r="AH9" s="1703"/>
      <c r="AI9" s="1721"/>
      <c r="AJ9" s="1718"/>
      <c r="AK9" s="1720"/>
      <c r="AL9" s="1720"/>
      <c r="AM9" s="1720"/>
      <c r="AN9" s="1703"/>
      <c r="AO9" s="1756"/>
    </row>
    <row r="10" spans="1:41" ht="15.75" customHeight="1" thickBot="1">
      <c r="A10" s="1722"/>
      <c r="B10" s="254" t="s">
        <v>382</v>
      </c>
      <c r="C10" s="439">
        <v>1E-3</v>
      </c>
      <c r="D10" s="440">
        <f t="shared" si="0"/>
        <v>761</v>
      </c>
      <c r="E10" s="439">
        <v>1.5E-3</v>
      </c>
      <c r="F10" s="440">
        <f t="shared" si="1"/>
        <v>312</v>
      </c>
      <c r="G10" s="443">
        <v>200</v>
      </c>
      <c r="H10" s="1733"/>
      <c r="I10" s="1736"/>
      <c r="J10" s="1737"/>
      <c r="K10" s="1745"/>
      <c r="L10" s="1743"/>
      <c r="M10" s="1740"/>
      <c r="N10" s="1741"/>
      <c r="O10" s="1721"/>
      <c r="P10" s="236">
        <v>1</v>
      </c>
      <c r="Q10" s="237">
        <v>2</v>
      </c>
      <c r="R10" s="237">
        <v>3</v>
      </c>
      <c r="S10" s="237">
        <v>4</v>
      </c>
      <c r="T10" s="238">
        <v>5</v>
      </c>
      <c r="U10" s="1721"/>
      <c r="V10" s="1721"/>
      <c r="W10" s="236">
        <v>1</v>
      </c>
      <c r="X10" s="237">
        <v>2</v>
      </c>
      <c r="Y10" s="237">
        <v>3</v>
      </c>
      <c r="Z10" s="237">
        <v>4</v>
      </c>
      <c r="AA10" s="238">
        <v>5</v>
      </c>
      <c r="AB10" s="1721"/>
      <c r="AC10" s="1721"/>
      <c r="AD10" s="236">
        <v>1</v>
      </c>
      <c r="AE10" s="237">
        <v>2</v>
      </c>
      <c r="AF10" s="237">
        <v>3</v>
      </c>
      <c r="AG10" s="237">
        <v>4</v>
      </c>
      <c r="AH10" s="238">
        <v>5</v>
      </c>
      <c r="AI10" s="1721"/>
      <c r="AJ10" s="236">
        <v>1</v>
      </c>
      <c r="AK10" s="237">
        <v>2</v>
      </c>
      <c r="AL10" s="237">
        <v>3</v>
      </c>
      <c r="AM10" s="237">
        <v>4</v>
      </c>
      <c r="AN10" s="238">
        <v>5</v>
      </c>
      <c r="AO10" s="1756"/>
    </row>
    <row r="11" spans="1:41" ht="22.5" customHeight="1">
      <c r="A11" s="1722"/>
      <c r="B11" s="254" t="s">
        <v>383</v>
      </c>
      <c r="C11" s="439">
        <v>1E-3</v>
      </c>
      <c r="D11" s="440">
        <f t="shared" si="0"/>
        <v>761</v>
      </c>
      <c r="E11" s="439">
        <v>1.5E-3</v>
      </c>
      <c r="F11" s="440">
        <f t="shared" si="1"/>
        <v>312</v>
      </c>
      <c r="G11" s="443">
        <v>20</v>
      </c>
      <c r="H11" s="1656" t="s">
        <v>451</v>
      </c>
      <c r="I11" s="1657"/>
      <c r="J11" s="1657"/>
      <c r="K11" s="1657"/>
      <c r="L11" s="1657"/>
      <c r="M11" s="1657"/>
      <c r="N11" s="1658"/>
      <c r="O11" s="1721"/>
      <c r="P11" s="239">
        <v>1</v>
      </c>
      <c r="Q11" s="240" t="str">
        <f>B6</f>
        <v>मिर्ची</v>
      </c>
      <c r="R11" s="437">
        <f>G23</f>
        <v>2.302</v>
      </c>
      <c r="S11" s="241">
        <f t="shared" ref="S11:S17" si="2">G6</f>
        <v>190</v>
      </c>
      <c r="T11" s="242">
        <f>ROUND(SUM(R11*S11),0)</f>
        <v>437</v>
      </c>
      <c r="U11" s="1721"/>
      <c r="V11" s="1721"/>
      <c r="W11" s="239">
        <v>1</v>
      </c>
      <c r="X11" s="240" t="str">
        <f>B4</f>
        <v>तेल</v>
      </c>
      <c r="Y11" s="446">
        <f>C23</f>
        <v>6.1449999999999996</v>
      </c>
      <c r="Z11" s="446">
        <f>G4</f>
        <v>90</v>
      </c>
      <c r="AA11" s="265">
        <f t="shared" ref="AA11:AA19" si="3">ROUND(SUM(Y11*Z11),0)</f>
        <v>553</v>
      </c>
      <c r="AB11" s="1721"/>
      <c r="AC11" s="1721"/>
      <c r="AD11" s="239">
        <v>1</v>
      </c>
      <c r="AE11" s="240" t="str">
        <f>B15</f>
        <v>गैस/ईंधन</v>
      </c>
      <c r="AF11" s="446"/>
      <c r="AG11" s="446"/>
      <c r="AH11" s="265">
        <f>M30</f>
        <v>6065</v>
      </c>
      <c r="AI11" s="1721"/>
      <c r="AJ11" s="239">
        <v>1</v>
      </c>
      <c r="AK11" s="240" t="str">
        <f>I25</f>
        <v>सब्जी</v>
      </c>
      <c r="AL11" s="446">
        <f>I30</f>
        <v>0</v>
      </c>
      <c r="AM11" s="446">
        <f>G13</f>
        <v>40</v>
      </c>
      <c r="AN11" s="265">
        <f t="shared" ref="AN11:AN19" si="4">ROUND(SUM(AL11*AM11),0)</f>
        <v>0</v>
      </c>
      <c r="AO11" s="1756"/>
    </row>
    <row r="12" spans="1:41" ht="22.5" customHeight="1">
      <c r="A12" s="1722"/>
      <c r="B12" s="254" t="s">
        <v>384</v>
      </c>
      <c r="C12" s="439">
        <v>1E-3</v>
      </c>
      <c r="D12" s="440">
        <f t="shared" si="0"/>
        <v>761</v>
      </c>
      <c r="E12" s="439">
        <v>1.5E-3</v>
      </c>
      <c r="F12" s="440">
        <f t="shared" si="1"/>
        <v>312</v>
      </c>
      <c r="G12" s="443">
        <v>15</v>
      </c>
      <c r="H12" s="1659" t="s">
        <v>443</v>
      </c>
      <c r="I12" s="1660"/>
      <c r="J12" s="1660"/>
      <c r="K12" s="1661" t="s">
        <v>128</v>
      </c>
      <c r="L12" s="1661"/>
      <c r="M12" s="1757" t="s">
        <v>129</v>
      </c>
      <c r="N12" s="1758"/>
      <c r="O12" s="1721"/>
      <c r="P12" s="239">
        <v>2</v>
      </c>
      <c r="Q12" s="240" t="str">
        <f>B7</f>
        <v>धनिया</v>
      </c>
      <c r="R12" s="437">
        <f>I23</f>
        <v>2.302</v>
      </c>
      <c r="S12" s="241">
        <f t="shared" si="2"/>
        <v>80</v>
      </c>
      <c r="T12" s="242">
        <f t="shared" ref="T12:T19" si="5">ROUND(SUM(R12*S12),0)</f>
        <v>184</v>
      </c>
      <c r="U12" s="1721"/>
      <c r="V12" s="1721"/>
      <c r="W12" s="239">
        <v>2</v>
      </c>
      <c r="X12" s="240" t="str">
        <f>B5</f>
        <v>दाल</v>
      </c>
      <c r="Y12" s="446">
        <f>E23</f>
        <v>0</v>
      </c>
      <c r="Z12" s="446">
        <f>G5</f>
        <v>85</v>
      </c>
      <c r="AA12" s="265">
        <f t="shared" si="3"/>
        <v>0</v>
      </c>
      <c r="AB12" s="1721"/>
      <c r="AC12" s="1721"/>
      <c r="AD12" s="239">
        <v>2</v>
      </c>
      <c r="AE12" s="240" t="str">
        <f>B16</f>
        <v>पिसाई</v>
      </c>
      <c r="AF12" s="446">
        <f>ROUND((C16+E16),0)</f>
        <v>0</v>
      </c>
      <c r="AG12" s="446">
        <f>G16</f>
        <v>12</v>
      </c>
      <c r="AH12" s="265">
        <f t="shared" ref="AH12:AH19" si="6">SUM(AF12*AG12)</f>
        <v>0</v>
      </c>
      <c r="AI12" s="1721"/>
      <c r="AJ12" s="239">
        <v>2</v>
      </c>
      <c r="AK12" s="240" t="str">
        <f>K25</f>
        <v>फल</v>
      </c>
      <c r="AL12" s="446">
        <f>K30</f>
        <v>12.4</v>
      </c>
      <c r="AM12" s="446">
        <f>G14</f>
        <v>50</v>
      </c>
      <c r="AN12" s="265">
        <f t="shared" si="4"/>
        <v>620</v>
      </c>
      <c r="AO12" s="1756"/>
    </row>
    <row r="13" spans="1:41" ht="22.5" customHeight="1">
      <c r="A13" s="1722"/>
      <c r="B13" s="255" t="s">
        <v>385</v>
      </c>
      <c r="C13" s="439">
        <v>0.05</v>
      </c>
      <c r="D13" s="442">
        <f>K14</f>
        <v>0</v>
      </c>
      <c r="E13" s="439">
        <v>7.4999999999999997E-2</v>
      </c>
      <c r="F13" s="442">
        <f>M14</f>
        <v>0</v>
      </c>
      <c r="G13" s="443">
        <v>40</v>
      </c>
      <c r="H13" s="1691" t="s">
        <v>377</v>
      </c>
      <c r="I13" s="1692"/>
      <c r="J13" s="1692"/>
      <c r="K13" s="1693">
        <f>'Upyogita Praman-Patra'!AI53</f>
        <v>0</v>
      </c>
      <c r="L13" s="1693"/>
      <c r="M13" s="1694">
        <f>'Upyogita Praman-Patra'!AN53</f>
        <v>0</v>
      </c>
      <c r="N13" s="1695"/>
      <c r="O13" s="1721"/>
      <c r="P13" s="239">
        <v>3</v>
      </c>
      <c r="Q13" s="240" t="str">
        <f t="shared" ref="Q13:Q17" si="7">B8</f>
        <v>हल्दी</v>
      </c>
      <c r="R13" s="437">
        <f>K23</f>
        <v>1.2290000000000001</v>
      </c>
      <c r="S13" s="241">
        <f t="shared" si="2"/>
        <v>75</v>
      </c>
      <c r="T13" s="242">
        <f t="shared" si="5"/>
        <v>92</v>
      </c>
      <c r="U13" s="1721"/>
      <c r="V13" s="1721"/>
      <c r="W13" s="262"/>
      <c r="X13" s="260"/>
      <c r="Y13" s="261"/>
      <c r="Z13" s="261"/>
      <c r="AA13" s="265">
        <f t="shared" si="3"/>
        <v>0</v>
      </c>
      <c r="AB13" s="1721"/>
      <c r="AC13" s="1721"/>
      <c r="AD13" s="262"/>
      <c r="AE13" s="260"/>
      <c r="AF13" s="261"/>
      <c r="AG13" s="261"/>
      <c r="AH13" s="265">
        <f t="shared" si="6"/>
        <v>0</v>
      </c>
      <c r="AI13" s="1721"/>
      <c r="AJ13" s="262"/>
      <c r="AK13" s="260"/>
      <c r="AL13" s="261"/>
      <c r="AM13" s="261"/>
      <c r="AN13" s="265">
        <f t="shared" si="4"/>
        <v>0</v>
      </c>
      <c r="AO13" s="1756"/>
    </row>
    <row r="14" spans="1:41" ht="22.5" customHeight="1">
      <c r="A14" s="1722"/>
      <c r="B14" s="255" t="s">
        <v>386</v>
      </c>
      <c r="C14" s="439">
        <v>0.05</v>
      </c>
      <c r="D14" s="442">
        <f>K15</f>
        <v>176</v>
      </c>
      <c r="E14" s="439">
        <v>7.4999999999999997E-2</v>
      </c>
      <c r="F14" s="442">
        <f>M15</f>
        <v>48</v>
      </c>
      <c r="G14" s="443">
        <v>50</v>
      </c>
      <c r="H14" s="1691" t="s">
        <v>385</v>
      </c>
      <c r="I14" s="1692"/>
      <c r="J14" s="1692"/>
      <c r="K14" s="1693">
        <f>'Upyogita Praman-Patra'!AJ53</f>
        <v>0</v>
      </c>
      <c r="L14" s="1693"/>
      <c r="M14" s="1694">
        <f>'Upyogita Praman-Patra'!AO53</f>
        <v>0</v>
      </c>
      <c r="N14" s="1695"/>
      <c r="O14" s="1721"/>
      <c r="P14" s="239">
        <v>4</v>
      </c>
      <c r="Q14" s="240" t="str">
        <f t="shared" si="7"/>
        <v>राई</v>
      </c>
      <c r="R14" s="437">
        <f>M23</f>
        <v>1.2290000000000001</v>
      </c>
      <c r="S14" s="241">
        <f t="shared" si="2"/>
        <v>75</v>
      </c>
      <c r="T14" s="242">
        <f t="shared" si="5"/>
        <v>92</v>
      </c>
      <c r="U14" s="1721"/>
      <c r="V14" s="1721"/>
      <c r="W14" s="262"/>
      <c r="X14" s="260"/>
      <c r="Y14" s="261"/>
      <c r="Z14" s="261"/>
      <c r="AA14" s="265">
        <f t="shared" si="3"/>
        <v>0</v>
      </c>
      <c r="AB14" s="1721"/>
      <c r="AC14" s="1721"/>
      <c r="AD14" s="262"/>
      <c r="AE14" s="260"/>
      <c r="AF14" s="261"/>
      <c r="AG14" s="261"/>
      <c r="AH14" s="265">
        <f t="shared" si="6"/>
        <v>0</v>
      </c>
      <c r="AI14" s="1721"/>
      <c r="AJ14" s="262"/>
      <c r="AK14" s="260"/>
      <c r="AL14" s="261"/>
      <c r="AM14" s="261"/>
      <c r="AN14" s="265">
        <f t="shared" si="4"/>
        <v>0</v>
      </c>
      <c r="AO14" s="1756"/>
    </row>
    <row r="15" spans="1:41" ht="22.5" customHeight="1">
      <c r="A15" s="1722"/>
      <c r="B15" s="263" t="s">
        <v>391</v>
      </c>
      <c r="C15" s="1766">
        <f>ROUND(M6-D21-F21-H21-J21-L21-N21-D28-F28-H28-J28-L28-N28,0)</f>
        <v>3673</v>
      </c>
      <c r="D15" s="1767"/>
      <c r="E15" s="1766">
        <f>ROUND(M8-D22-F22-H22-J22-L22-N22-D29-F29-H29-J29-L29-N29,0)</f>
        <v>2392</v>
      </c>
      <c r="F15" s="1767"/>
      <c r="G15" s="444" t="s">
        <v>409</v>
      </c>
      <c r="H15" s="1691" t="s">
        <v>386</v>
      </c>
      <c r="I15" s="1692"/>
      <c r="J15" s="1692"/>
      <c r="K15" s="1693">
        <f>'Upyogita Praman-Patra'!AK53</f>
        <v>176</v>
      </c>
      <c r="L15" s="1693"/>
      <c r="M15" s="1694">
        <f>'Upyogita Praman-Patra'!AP53</f>
        <v>48</v>
      </c>
      <c r="N15" s="1695"/>
      <c r="O15" s="1721"/>
      <c r="P15" s="239">
        <v>5</v>
      </c>
      <c r="Q15" s="240" t="str">
        <f t="shared" si="7"/>
        <v>जीरा</v>
      </c>
      <c r="R15" s="437">
        <f>C30</f>
        <v>1.2290000000000001</v>
      </c>
      <c r="S15" s="241">
        <f t="shared" si="2"/>
        <v>200</v>
      </c>
      <c r="T15" s="242">
        <f t="shared" si="5"/>
        <v>246</v>
      </c>
      <c r="U15" s="1721"/>
      <c r="V15" s="1721"/>
      <c r="W15" s="262"/>
      <c r="X15" s="260"/>
      <c r="Y15" s="261"/>
      <c r="Z15" s="261"/>
      <c r="AA15" s="265">
        <f t="shared" si="3"/>
        <v>0</v>
      </c>
      <c r="AB15" s="1721"/>
      <c r="AC15" s="1721"/>
      <c r="AD15" s="262"/>
      <c r="AE15" s="260"/>
      <c r="AF15" s="261"/>
      <c r="AG15" s="261"/>
      <c r="AH15" s="265">
        <f t="shared" si="6"/>
        <v>0</v>
      </c>
      <c r="AI15" s="1721"/>
      <c r="AJ15" s="262"/>
      <c r="AK15" s="260"/>
      <c r="AL15" s="261"/>
      <c r="AM15" s="261"/>
      <c r="AN15" s="265">
        <f t="shared" si="4"/>
        <v>0</v>
      </c>
      <c r="AO15" s="1756"/>
    </row>
    <row r="16" spans="1:41" ht="22.5" customHeight="1" thickBot="1">
      <c r="A16" s="1722"/>
      <c r="B16" s="264" t="s">
        <v>387</v>
      </c>
      <c r="C16" s="1768">
        <f>ROUND(K16*G16,0)</f>
        <v>0</v>
      </c>
      <c r="D16" s="1769"/>
      <c r="E16" s="1768">
        <f>ROUND(M16*G16,0)</f>
        <v>0</v>
      </c>
      <c r="F16" s="1769"/>
      <c r="G16" s="445">
        <v>12</v>
      </c>
      <c r="H16" s="1645" t="s">
        <v>141</v>
      </c>
      <c r="I16" s="1646"/>
      <c r="J16" s="1646"/>
      <c r="K16" s="1647">
        <f>'Upyogita Praman-Patra'!AH53</f>
        <v>0</v>
      </c>
      <c r="L16" s="1647"/>
      <c r="M16" s="1648">
        <f>'Upyogita Praman-Patra'!AM53</f>
        <v>0</v>
      </c>
      <c r="N16" s="1649"/>
      <c r="O16" s="1721"/>
      <c r="P16" s="239">
        <v>6</v>
      </c>
      <c r="Q16" s="240" t="str">
        <f t="shared" si="7"/>
        <v>लहसुन</v>
      </c>
      <c r="R16" s="437">
        <f>E30</f>
        <v>1.2290000000000001</v>
      </c>
      <c r="S16" s="241">
        <f t="shared" si="2"/>
        <v>20</v>
      </c>
      <c r="T16" s="242">
        <f t="shared" si="5"/>
        <v>25</v>
      </c>
      <c r="U16" s="1721"/>
      <c r="V16" s="1721"/>
      <c r="W16" s="262"/>
      <c r="X16" s="260"/>
      <c r="Y16" s="261"/>
      <c r="Z16" s="261"/>
      <c r="AA16" s="265">
        <f t="shared" si="3"/>
        <v>0</v>
      </c>
      <c r="AB16" s="1721"/>
      <c r="AC16" s="1721"/>
      <c r="AD16" s="262"/>
      <c r="AE16" s="260"/>
      <c r="AF16" s="261"/>
      <c r="AG16" s="261"/>
      <c r="AH16" s="265">
        <f t="shared" si="6"/>
        <v>0</v>
      </c>
      <c r="AI16" s="1721"/>
      <c r="AJ16" s="262"/>
      <c r="AK16" s="260"/>
      <c r="AL16" s="261"/>
      <c r="AM16" s="261"/>
      <c r="AN16" s="265">
        <f t="shared" si="4"/>
        <v>0</v>
      </c>
      <c r="AO16" s="1756"/>
    </row>
    <row r="17" spans="1:41" ht="22.5" customHeight="1" thickBot="1">
      <c r="A17" s="1722"/>
      <c r="B17" s="1759"/>
      <c r="C17" s="1759"/>
      <c r="D17" s="1759"/>
      <c r="E17" s="1759"/>
      <c r="F17" s="1759"/>
      <c r="G17" s="1759"/>
      <c r="H17" s="1759"/>
      <c r="I17" s="1759"/>
      <c r="J17" s="1759"/>
      <c r="K17" s="1759"/>
      <c r="L17" s="1759"/>
      <c r="M17" s="1759"/>
      <c r="N17" s="1759"/>
      <c r="O17" s="1721"/>
      <c r="P17" s="239">
        <v>7</v>
      </c>
      <c r="Q17" s="240" t="str">
        <f t="shared" si="7"/>
        <v>नमक</v>
      </c>
      <c r="R17" s="437">
        <f>G30</f>
        <v>1.2290000000000001</v>
      </c>
      <c r="S17" s="241">
        <f t="shared" si="2"/>
        <v>15</v>
      </c>
      <c r="T17" s="242">
        <f t="shared" si="5"/>
        <v>18</v>
      </c>
      <c r="U17" s="1721"/>
      <c r="V17" s="1721"/>
      <c r="W17" s="262"/>
      <c r="X17" s="260"/>
      <c r="Y17" s="261"/>
      <c r="Z17" s="261"/>
      <c r="AA17" s="265">
        <f t="shared" si="3"/>
        <v>0</v>
      </c>
      <c r="AB17" s="1721"/>
      <c r="AC17" s="1721"/>
      <c r="AD17" s="262"/>
      <c r="AE17" s="260"/>
      <c r="AF17" s="261"/>
      <c r="AG17" s="261"/>
      <c r="AH17" s="265">
        <f t="shared" si="6"/>
        <v>0</v>
      </c>
      <c r="AI17" s="1721"/>
      <c r="AJ17" s="262"/>
      <c r="AK17" s="260"/>
      <c r="AL17" s="261"/>
      <c r="AM17" s="261"/>
      <c r="AN17" s="265">
        <f t="shared" si="4"/>
        <v>0</v>
      </c>
      <c r="AO17" s="1756"/>
    </row>
    <row r="18" spans="1:41" ht="22.5" customHeight="1">
      <c r="A18" s="1722"/>
      <c r="B18" s="1729" t="s">
        <v>318</v>
      </c>
      <c r="C18" s="1723" t="str">
        <f>B4</f>
        <v>तेल</v>
      </c>
      <c r="D18" s="1723"/>
      <c r="E18" s="1723" t="str">
        <f>B5</f>
        <v>दाल</v>
      </c>
      <c r="F18" s="1723"/>
      <c r="G18" s="1723" t="str">
        <f>B6</f>
        <v>मिर्ची</v>
      </c>
      <c r="H18" s="1723"/>
      <c r="I18" s="1723" t="str">
        <f>B7</f>
        <v>धनिया</v>
      </c>
      <c r="J18" s="1723"/>
      <c r="K18" s="1723" t="str">
        <f>B8</f>
        <v>हल्दी</v>
      </c>
      <c r="L18" s="1723"/>
      <c r="M18" s="1723" t="str">
        <f>B9</f>
        <v>राई</v>
      </c>
      <c r="N18" s="1726"/>
      <c r="O18" s="1721"/>
      <c r="P18" s="262">
        <v>8</v>
      </c>
      <c r="Q18" s="260" t="s">
        <v>239</v>
      </c>
      <c r="R18" s="438"/>
      <c r="S18" s="261"/>
      <c r="T18" s="242">
        <f t="shared" si="5"/>
        <v>0</v>
      </c>
      <c r="U18" s="1721"/>
      <c r="V18" s="1721"/>
      <c r="W18" s="262"/>
      <c r="X18" s="260"/>
      <c r="Y18" s="261"/>
      <c r="Z18" s="261"/>
      <c r="AA18" s="265">
        <f t="shared" si="3"/>
        <v>0</v>
      </c>
      <c r="AB18" s="1721"/>
      <c r="AC18" s="1721"/>
      <c r="AD18" s="262"/>
      <c r="AE18" s="260"/>
      <c r="AF18" s="261"/>
      <c r="AG18" s="261"/>
      <c r="AH18" s="265">
        <f t="shared" si="6"/>
        <v>0</v>
      </c>
      <c r="AI18" s="1721"/>
      <c r="AJ18" s="262"/>
      <c r="AK18" s="260"/>
      <c r="AL18" s="261"/>
      <c r="AM18" s="261"/>
      <c r="AN18" s="265">
        <f t="shared" si="4"/>
        <v>0</v>
      </c>
      <c r="AO18" s="1756"/>
    </row>
    <row r="19" spans="1:41" ht="22.5" customHeight="1" thickBot="1">
      <c r="A19" s="1722"/>
      <c r="B19" s="1730"/>
      <c r="C19" s="243" t="s">
        <v>390</v>
      </c>
      <c r="D19" s="243" t="s">
        <v>235</v>
      </c>
      <c r="E19" s="243" t="s">
        <v>390</v>
      </c>
      <c r="F19" s="243" t="s">
        <v>235</v>
      </c>
      <c r="G19" s="243" t="s">
        <v>390</v>
      </c>
      <c r="H19" s="243" t="s">
        <v>235</v>
      </c>
      <c r="I19" s="243" t="s">
        <v>390</v>
      </c>
      <c r="J19" s="243" t="s">
        <v>235</v>
      </c>
      <c r="K19" s="243" t="s">
        <v>390</v>
      </c>
      <c r="L19" s="243" t="s">
        <v>235</v>
      </c>
      <c r="M19" s="243" t="s">
        <v>390</v>
      </c>
      <c r="N19" s="244" t="s">
        <v>235</v>
      </c>
      <c r="O19" s="1721"/>
      <c r="P19" s="257"/>
      <c r="Q19" s="258"/>
      <c r="R19" s="259"/>
      <c r="S19" s="259"/>
      <c r="T19" s="245">
        <f t="shared" si="5"/>
        <v>0</v>
      </c>
      <c r="U19" s="1721"/>
      <c r="V19" s="1721"/>
      <c r="W19" s="257"/>
      <c r="X19" s="258"/>
      <c r="Y19" s="259"/>
      <c r="Z19" s="259"/>
      <c r="AA19" s="266">
        <f t="shared" si="3"/>
        <v>0</v>
      </c>
      <c r="AB19" s="1721"/>
      <c r="AC19" s="1721"/>
      <c r="AD19" s="257"/>
      <c r="AE19" s="258"/>
      <c r="AF19" s="259"/>
      <c r="AG19" s="259"/>
      <c r="AH19" s="266">
        <f t="shared" si="6"/>
        <v>0</v>
      </c>
      <c r="AI19" s="1721"/>
      <c r="AJ19" s="257"/>
      <c r="AK19" s="258"/>
      <c r="AL19" s="259"/>
      <c r="AM19" s="259"/>
      <c r="AN19" s="266">
        <f t="shared" si="4"/>
        <v>0</v>
      </c>
      <c r="AO19" s="1756"/>
    </row>
    <row r="20" spans="1:41" ht="12.75" customHeight="1">
      <c r="A20" s="1722"/>
      <c r="B20" s="1730"/>
      <c r="C20" s="246">
        <v>1</v>
      </c>
      <c r="D20" s="246">
        <v>2</v>
      </c>
      <c r="E20" s="246">
        <v>3</v>
      </c>
      <c r="F20" s="246">
        <v>4</v>
      </c>
      <c r="G20" s="246">
        <v>5</v>
      </c>
      <c r="H20" s="246">
        <v>6</v>
      </c>
      <c r="I20" s="246">
        <v>7</v>
      </c>
      <c r="J20" s="246">
        <v>8</v>
      </c>
      <c r="K20" s="246">
        <v>9</v>
      </c>
      <c r="L20" s="246">
        <v>10</v>
      </c>
      <c r="M20" s="246">
        <v>11</v>
      </c>
      <c r="N20" s="247">
        <v>12</v>
      </c>
      <c r="O20" s="1721"/>
      <c r="P20" s="1650" t="s">
        <v>23</v>
      </c>
      <c r="Q20" s="1651"/>
      <c r="R20" s="1651"/>
      <c r="S20" s="1651"/>
      <c r="T20" s="1654">
        <f>ROUNDDOWN((T11+T12+T13+T14+T15+T16+T17+T18+T19),0)</f>
        <v>1094</v>
      </c>
      <c r="U20" s="1721"/>
      <c r="V20" s="1721"/>
      <c r="W20" s="1650" t="s">
        <v>23</v>
      </c>
      <c r="X20" s="1651"/>
      <c r="Y20" s="1651"/>
      <c r="Z20" s="1651"/>
      <c r="AA20" s="1654">
        <f>ROUNDDOWN((AA11+AA12+AA13+AA14+AA15+AA16+AA17+AA18+AA19),0)</f>
        <v>553</v>
      </c>
      <c r="AB20" s="1721"/>
      <c r="AC20" s="1721"/>
      <c r="AD20" s="1650" t="s">
        <v>23</v>
      </c>
      <c r="AE20" s="1651"/>
      <c r="AF20" s="1651"/>
      <c r="AG20" s="1651"/>
      <c r="AH20" s="1654">
        <f>ROUNDDOWN((AH11+AH12+AH13+AH14+AH15+AH16+AH17+AH18+AH19),0)</f>
        <v>6065</v>
      </c>
      <c r="AI20" s="1721"/>
      <c r="AJ20" s="1650" t="s">
        <v>23</v>
      </c>
      <c r="AK20" s="1651"/>
      <c r="AL20" s="1651"/>
      <c r="AM20" s="1651"/>
      <c r="AN20" s="1654">
        <f>ROUNDDOWN((AN11+AN12+AN13+AN14+AN15+AN16+AN17+AN18+AN19),0)</f>
        <v>620</v>
      </c>
      <c r="AO20" s="1756"/>
    </row>
    <row r="21" spans="1:41" ht="15.75" thickBot="1">
      <c r="A21" s="1722"/>
      <c r="B21" s="248" t="s">
        <v>254</v>
      </c>
      <c r="C21" s="249">
        <f>SUM(D4*C4)</f>
        <v>3.8050000000000002</v>
      </c>
      <c r="D21" s="435">
        <f>C21*G4</f>
        <v>342.45</v>
      </c>
      <c r="E21" s="249">
        <f>SUM(D5*C5)</f>
        <v>0</v>
      </c>
      <c r="F21" s="435">
        <f>E21*G5</f>
        <v>0</v>
      </c>
      <c r="G21" s="249">
        <f>SUM(D6*C6)</f>
        <v>1.522</v>
      </c>
      <c r="H21" s="435">
        <f>G21*G6</f>
        <v>289.18</v>
      </c>
      <c r="I21" s="249">
        <f>SUM(D7*C7)</f>
        <v>1.522</v>
      </c>
      <c r="J21" s="435">
        <f>I21*G7</f>
        <v>121.76</v>
      </c>
      <c r="K21" s="249">
        <f>SUM(D8*C8)</f>
        <v>0.76100000000000001</v>
      </c>
      <c r="L21" s="435">
        <f>K21*G8</f>
        <v>57.075000000000003</v>
      </c>
      <c r="M21" s="249">
        <f>SUM(D9*C9)</f>
        <v>0.76100000000000001</v>
      </c>
      <c r="N21" s="436">
        <f>M21*G9</f>
        <v>57.075000000000003</v>
      </c>
      <c r="O21" s="1721"/>
      <c r="P21" s="1652"/>
      <c r="Q21" s="1653"/>
      <c r="R21" s="1653"/>
      <c r="S21" s="1653"/>
      <c r="T21" s="1655"/>
      <c r="U21" s="1721"/>
      <c r="V21" s="1721"/>
      <c r="W21" s="1652"/>
      <c r="X21" s="1653"/>
      <c r="Y21" s="1653"/>
      <c r="Z21" s="1653"/>
      <c r="AA21" s="1655"/>
      <c r="AB21" s="1721"/>
      <c r="AC21" s="1721"/>
      <c r="AD21" s="1652"/>
      <c r="AE21" s="1653"/>
      <c r="AF21" s="1653"/>
      <c r="AG21" s="1653"/>
      <c r="AH21" s="1655"/>
      <c r="AI21" s="1721"/>
      <c r="AJ21" s="1652"/>
      <c r="AK21" s="1653"/>
      <c r="AL21" s="1653"/>
      <c r="AM21" s="1653"/>
      <c r="AN21" s="1655"/>
      <c r="AO21" s="1756"/>
    </row>
    <row r="22" spans="1:41" ht="15.75" customHeight="1" thickBot="1">
      <c r="A22" s="1722"/>
      <c r="B22" s="248" t="s">
        <v>393</v>
      </c>
      <c r="C22" s="249">
        <f>SUM(E4*F4)</f>
        <v>2.34</v>
      </c>
      <c r="D22" s="435">
        <f>C22*G4</f>
        <v>210.6</v>
      </c>
      <c r="E22" s="249">
        <f>SUM(E5*F5)</f>
        <v>0</v>
      </c>
      <c r="F22" s="435">
        <f>E22*G5</f>
        <v>0</v>
      </c>
      <c r="G22" s="249">
        <f>SUM(E6*F6)</f>
        <v>0.78</v>
      </c>
      <c r="H22" s="435">
        <f>G22*G6</f>
        <v>148.20000000000002</v>
      </c>
      <c r="I22" s="249">
        <f>E7*F7</f>
        <v>0.78</v>
      </c>
      <c r="J22" s="435">
        <f>I22*G7</f>
        <v>62.400000000000006</v>
      </c>
      <c r="K22" s="249">
        <f>E8*F8</f>
        <v>0.46800000000000003</v>
      </c>
      <c r="L22" s="435">
        <f>K22*G8</f>
        <v>35.1</v>
      </c>
      <c r="M22" s="249">
        <f>SUM(E9*F9)</f>
        <v>0.46800000000000003</v>
      </c>
      <c r="N22" s="436">
        <f>M22*G9</f>
        <v>35.1</v>
      </c>
      <c r="O22" s="1721"/>
      <c r="P22" s="250" t="s">
        <v>405</v>
      </c>
      <c r="Q22" s="1704"/>
      <c r="R22" s="1704"/>
      <c r="S22" s="1704"/>
      <c r="T22" s="1705"/>
      <c r="U22" s="1721"/>
      <c r="V22" s="1721"/>
      <c r="W22" s="250" t="s">
        <v>405</v>
      </c>
      <c r="X22" s="1704"/>
      <c r="Y22" s="1704"/>
      <c r="Z22" s="1704"/>
      <c r="AA22" s="1705"/>
      <c r="AB22" s="1721"/>
      <c r="AC22" s="1721"/>
      <c r="AD22" s="250" t="s">
        <v>405</v>
      </c>
      <c r="AE22" s="1704"/>
      <c r="AF22" s="1704"/>
      <c r="AG22" s="1704"/>
      <c r="AH22" s="1705"/>
      <c r="AI22" s="1721"/>
      <c r="AJ22" s="250" t="s">
        <v>405</v>
      </c>
      <c r="AK22" s="1704"/>
      <c r="AL22" s="1704"/>
      <c r="AM22" s="1704"/>
      <c r="AN22" s="1705"/>
      <c r="AO22" s="1756"/>
    </row>
    <row r="23" spans="1:41" ht="15.75" thickBot="1">
      <c r="A23" s="1722"/>
      <c r="B23" s="251" t="s">
        <v>130</v>
      </c>
      <c r="C23" s="252">
        <f>SUM(C21:C22)</f>
        <v>6.1449999999999996</v>
      </c>
      <c r="D23" s="252">
        <f t="shared" ref="D23:N23" si="8">ROUND(SUM(D21:D22),0)</f>
        <v>553</v>
      </c>
      <c r="E23" s="252">
        <f>SUM(E21:E22)</f>
        <v>0</v>
      </c>
      <c r="F23" s="252">
        <f t="shared" si="8"/>
        <v>0</v>
      </c>
      <c r="G23" s="252">
        <f>SUM(G21:G22)</f>
        <v>2.302</v>
      </c>
      <c r="H23" s="252">
        <f t="shared" si="8"/>
        <v>437</v>
      </c>
      <c r="I23" s="252">
        <f>SUM(I21:I22)</f>
        <v>2.302</v>
      </c>
      <c r="J23" s="252">
        <f t="shared" si="8"/>
        <v>184</v>
      </c>
      <c r="K23" s="252">
        <f>SUM(K21:K22)</f>
        <v>1.2290000000000001</v>
      </c>
      <c r="L23" s="252">
        <f t="shared" si="8"/>
        <v>92</v>
      </c>
      <c r="M23" s="252">
        <f>SUM(M21:M22)</f>
        <v>1.2290000000000001</v>
      </c>
      <c r="N23" s="253">
        <f t="shared" si="8"/>
        <v>92</v>
      </c>
      <c r="O23" s="1721"/>
      <c r="P23" s="1746" t="s">
        <v>399</v>
      </c>
      <c r="Q23" s="1747"/>
      <c r="R23" s="1747"/>
      <c r="S23" s="1747"/>
      <c r="T23" s="1748"/>
      <c r="U23" s="1721"/>
      <c r="V23" s="1721"/>
      <c r="W23" s="1746" t="s">
        <v>399</v>
      </c>
      <c r="X23" s="1747"/>
      <c r="Y23" s="1747"/>
      <c r="Z23" s="1747"/>
      <c r="AA23" s="1748"/>
      <c r="AB23" s="1721"/>
      <c r="AC23" s="1721"/>
      <c r="AD23" s="1746" t="s">
        <v>399</v>
      </c>
      <c r="AE23" s="1747"/>
      <c r="AF23" s="1747"/>
      <c r="AG23" s="1747"/>
      <c r="AH23" s="1748"/>
      <c r="AI23" s="1721"/>
      <c r="AJ23" s="1746" t="s">
        <v>399</v>
      </c>
      <c r="AK23" s="1747"/>
      <c r="AL23" s="1747"/>
      <c r="AM23" s="1747"/>
      <c r="AN23" s="1748"/>
      <c r="AO23" s="1756"/>
    </row>
    <row r="24" spans="1:41" ht="7.5" customHeight="1" thickBot="1">
      <c r="A24" s="1722"/>
      <c r="C24" s="1728"/>
      <c r="D24" s="1728"/>
      <c r="E24" s="1728"/>
      <c r="F24" s="1728"/>
      <c r="G24" s="1728"/>
      <c r="H24" s="1728"/>
      <c r="I24" s="1728"/>
      <c r="J24" s="1728"/>
      <c r="K24" s="1728"/>
      <c r="L24" s="1728"/>
      <c r="M24" s="1728"/>
      <c r="N24" s="1728"/>
      <c r="O24" s="1721"/>
      <c r="P24" s="1749"/>
      <c r="Q24" s="1750"/>
      <c r="R24" s="1750"/>
      <c r="S24" s="1750"/>
      <c r="T24" s="1751"/>
      <c r="U24" s="1721"/>
      <c r="V24" s="1721"/>
      <c r="W24" s="1749"/>
      <c r="X24" s="1750"/>
      <c r="Y24" s="1750"/>
      <c r="Z24" s="1750"/>
      <c r="AA24" s="1751"/>
      <c r="AB24" s="1721"/>
      <c r="AC24" s="1721"/>
      <c r="AD24" s="1749"/>
      <c r="AE24" s="1750"/>
      <c r="AF24" s="1750"/>
      <c r="AG24" s="1750"/>
      <c r="AH24" s="1751"/>
      <c r="AI24" s="1721"/>
      <c r="AJ24" s="1749"/>
      <c r="AK24" s="1750"/>
      <c r="AL24" s="1750"/>
      <c r="AM24" s="1750"/>
      <c r="AN24" s="1751"/>
      <c r="AO24" s="1756"/>
    </row>
    <row r="25" spans="1:41">
      <c r="A25" s="1722"/>
      <c r="B25" s="1729" t="s">
        <v>318</v>
      </c>
      <c r="C25" s="1723" t="str">
        <f>B10</f>
        <v>जीरा</v>
      </c>
      <c r="D25" s="1723"/>
      <c r="E25" s="1723" t="str">
        <f>B11</f>
        <v>लहसुन</v>
      </c>
      <c r="F25" s="1723"/>
      <c r="G25" s="1723" t="str">
        <f>B12</f>
        <v>नमक</v>
      </c>
      <c r="H25" s="1723"/>
      <c r="I25" s="1723" t="str">
        <f>B13</f>
        <v>सब्जी</v>
      </c>
      <c r="J25" s="1723"/>
      <c r="K25" s="1723" t="str">
        <f>B14</f>
        <v>फल</v>
      </c>
      <c r="L25" s="1723"/>
      <c r="M25" s="1724" t="str">
        <f>B15</f>
        <v>गैस/ईंधन</v>
      </c>
      <c r="N25" s="1726" t="str">
        <f>B16</f>
        <v>पिसाई</v>
      </c>
      <c r="O25" s="1721"/>
      <c r="P25" s="1749"/>
      <c r="Q25" s="1750"/>
      <c r="R25" s="1750"/>
      <c r="S25" s="1750"/>
      <c r="T25" s="1751"/>
      <c r="U25" s="1721"/>
      <c r="V25" s="1721"/>
      <c r="W25" s="1749"/>
      <c r="X25" s="1750"/>
      <c r="Y25" s="1750"/>
      <c r="Z25" s="1750"/>
      <c r="AA25" s="1751"/>
      <c r="AB25" s="1721"/>
      <c r="AC25" s="1721"/>
      <c r="AD25" s="1749"/>
      <c r="AE25" s="1750"/>
      <c r="AF25" s="1750"/>
      <c r="AG25" s="1750"/>
      <c r="AH25" s="1751"/>
      <c r="AI25" s="1721"/>
      <c r="AJ25" s="1749"/>
      <c r="AK25" s="1750"/>
      <c r="AL25" s="1750"/>
      <c r="AM25" s="1750"/>
      <c r="AN25" s="1751"/>
      <c r="AO25" s="1756"/>
    </row>
    <row r="26" spans="1:41">
      <c r="A26" s="1722"/>
      <c r="B26" s="1730"/>
      <c r="C26" s="243" t="s">
        <v>390</v>
      </c>
      <c r="D26" s="243" t="s">
        <v>235</v>
      </c>
      <c r="E26" s="243" t="s">
        <v>390</v>
      </c>
      <c r="F26" s="243" t="s">
        <v>235</v>
      </c>
      <c r="G26" s="243" t="s">
        <v>390</v>
      </c>
      <c r="H26" s="243" t="s">
        <v>235</v>
      </c>
      <c r="I26" s="243" t="s">
        <v>390</v>
      </c>
      <c r="J26" s="243" t="s">
        <v>235</v>
      </c>
      <c r="K26" s="243" t="s">
        <v>390</v>
      </c>
      <c r="L26" s="243" t="s">
        <v>235</v>
      </c>
      <c r="M26" s="1725"/>
      <c r="N26" s="1727"/>
      <c r="O26" s="1721"/>
      <c r="P26" s="1749"/>
      <c r="Q26" s="1750"/>
      <c r="R26" s="1750"/>
      <c r="S26" s="1750"/>
      <c r="T26" s="1751"/>
      <c r="U26" s="1721"/>
      <c r="V26" s="1721"/>
      <c r="W26" s="1749"/>
      <c r="X26" s="1750"/>
      <c r="Y26" s="1750"/>
      <c r="Z26" s="1750"/>
      <c r="AA26" s="1751"/>
      <c r="AB26" s="1721"/>
      <c r="AC26" s="1721"/>
      <c r="AD26" s="1749"/>
      <c r="AE26" s="1750"/>
      <c r="AF26" s="1750"/>
      <c r="AG26" s="1750"/>
      <c r="AH26" s="1751"/>
      <c r="AI26" s="1721"/>
      <c r="AJ26" s="1749"/>
      <c r="AK26" s="1750"/>
      <c r="AL26" s="1750"/>
      <c r="AM26" s="1750"/>
      <c r="AN26" s="1751"/>
      <c r="AO26" s="1756"/>
    </row>
    <row r="27" spans="1:41" ht="12.75" customHeight="1">
      <c r="A27" s="1722"/>
      <c r="B27" s="1730"/>
      <c r="C27" s="246">
        <v>13</v>
      </c>
      <c r="D27" s="246">
        <v>14</v>
      </c>
      <c r="E27" s="246">
        <v>15</v>
      </c>
      <c r="F27" s="246">
        <v>16</v>
      </c>
      <c r="G27" s="246">
        <v>17</v>
      </c>
      <c r="H27" s="246">
        <v>18</v>
      </c>
      <c r="I27" s="246">
        <v>19</v>
      </c>
      <c r="J27" s="246">
        <v>20</v>
      </c>
      <c r="K27" s="246">
        <v>21</v>
      </c>
      <c r="L27" s="246">
        <v>22</v>
      </c>
      <c r="M27" s="246">
        <v>23</v>
      </c>
      <c r="N27" s="247">
        <v>24</v>
      </c>
      <c r="O27" s="1721"/>
      <c r="P27" s="1749"/>
      <c r="Q27" s="1750"/>
      <c r="R27" s="1750"/>
      <c r="S27" s="1750"/>
      <c r="T27" s="1751"/>
      <c r="U27" s="1721"/>
      <c r="V27" s="1721"/>
      <c r="W27" s="1749"/>
      <c r="X27" s="1750"/>
      <c r="Y27" s="1750"/>
      <c r="Z27" s="1750"/>
      <c r="AA27" s="1751"/>
      <c r="AB27" s="1721"/>
      <c r="AC27" s="1721"/>
      <c r="AD27" s="1749"/>
      <c r="AE27" s="1750"/>
      <c r="AF27" s="1750"/>
      <c r="AG27" s="1750"/>
      <c r="AH27" s="1751"/>
      <c r="AI27" s="1721"/>
      <c r="AJ27" s="1749"/>
      <c r="AK27" s="1750"/>
      <c r="AL27" s="1750"/>
      <c r="AM27" s="1750"/>
      <c r="AN27" s="1751"/>
      <c r="AO27" s="1756"/>
    </row>
    <row r="28" spans="1:41">
      <c r="A28" s="1722"/>
      <c r="B28" s="248" t="s">
        <v>254</v>
      </c>
      <c r="C28" s="249">
        <f>SUM(D10*C10)</f>
        <v>0.76100000000000001</v>
      </c>
      <c r="D28" s="435">
        <f>C28*G10</f>
        <v>152.19999999999999</v>
      </c>
      <c r="E28" s="249">
        <f>SUM(D11*C11)</f>
        <v>0.76100000000000001</v>
      </c>
      <c r="F28" s="435">
        <f>E28*G11</f>
        <v>15.22</v>
      </c>
      <c r="G28" s="249">
        <f>SUM(D12*C12)</f>
        <v>0.76100000000000001</v>
      </c>
      <c r="H28" s="435">
        <f>G28*G12</f>
        <v>11.415000000000001</v>
      </c>
      <c r="I28" s="249">
        <f>SUM(D13*C13)</f>
        <v>0</v>
      </c>
      <c r="J28" s="435">
        <f>I28*G13</f>
        <v>0</v>
      </c>
      <c r="K28" s="249">
        <f>SUM(D14*C14)</f>
        <v>8.8000000000000007</v>
      </c>
      <c r="L28" s="249">
        <f>K28*G14</f>
        <v>440.00000000000006</v>
      </c>
      <c r="M28" s="434">
        <f>C15</f>
        <v>3673</v>
      </c>
      <c r="N28" s="434">
        <f>C16*G16</f>
        <v>0</v>
      </c>
      <c r="O28" s="1721"/>
      <c r="P28" s="1749"/>
      <c r="Q28" s="1750"/>
      <c r="R28" s="1750"/>
      <c r="S28" s="1750"/>
      <c r="T28" s="1751"/>
      <c r="U28" s="1721"/>
      <c r="V28" s="1721"/>
      <c r="W28" s="1749"/>
      <c r="X28" s="1750"/>
      <c r="Y28" s="1750"/>
      <c r="Z28" s="1750"/>
      <c r="AA28" s="1751"/>
      <c r="AB28" s="1721"/>
      <c r="AC28" s="1721"/>
      <c r="AD28" s="1749"/>
      <c r="AE28" s="1750"/>
      <c r="AF28" s="1750"/>
      <c r="AG28" s="1750"/>
      <c r="AH28" s="1751"/>
      <c r="AI28" s="1721"/>
      <c r="AJ28" s="1749"/>
      <c r="AK28" s="1750"/>
      <c r="AL28" s="1750"/>
      <c r="AM28" s="1750"/>
      <c r="AN28" s="1751"/>
      <c r="AO28" s="1756"/>
    </row>
    <row r="29" spans="1:41">
      <c r="A29" s="1722"/>
      <c r="B29" s="248" t="s">
        <v>393</v>
      </c>
      <c r="C29" s="249">
        <f>SUM(E10*F10)</f>
        <v>0.46800000000000003</v>
      </c>
      <c r="D29" s="435">
        <f>C29*G10</f>
        <v>93.600000000000009</v>
      </c>
      <c r="E29" s="249">
        <f>SUM(E11*F11)</f>
        <v>0.46800000000000003</v>
      </c>
      <c r="F29" s="435">
        <f>E29*G11</f>
        <v>9.3600000000000012</v>
      </c>
      <c r="G29" s="249">
        <f>SUM(E12*F12)</f>
        <v>0.46800000000000003</v>
      </c>
      <c r="H29" s="435">
        <f>G29*G12</f>
        <v>7.0200000000000005</v>
      </c>
      <c r="I29" s="249">
        <f>SUM(E13*F13)</f>
        <v>0</v>
      </c>
      <c r="J29" s="435">
        <f>I29*G13</f>
        <v>0</v>
      </c>
      <c r="K29" s="249">
        <f>SUM(E14*F14)</f>
        <v>3.5999999999999996</v>
      </c>
      <c r="L29" s="249">
        <f>K29*G14</f>
        <v>179.99999999999997</v>
      </c>
      <c r="M29" s="434">
        <f>E15</f>
        <v>2392</v>
      </c>
      <c r="N29" s="434">
        <f>E16*G16</f>
        <v>0</v>
      </c>
      <c r="O29" s="1721"/>
      <c r="P29" s="1749"/>
      <c r="Q29" s="1750"/>
      <c r="R29" s="1750"/>
      <c r="S29" s="1750"/>
      <c r="T29" s="1751"/>
      <c r="U29" s="1721"/>
      <c r="V29" s="1721"/>
      <c r="W29" s="1749"/>
      <c r="X29" s="1750"/>
      <c r="Y29" s="1750"/>
      <c r="Z29" s="1750"/>
      <c r="AA29" s="1751"/>
      <c r="AB29" s="1721"/>
      <c r="AC29" s="1721"/>
      <c r="AD29" s="1749"/>
      <c r="AE29" s="1750"/>
      <c r="AF29" s="1750"/>
      <c r="AG29" s="1750"/>
      <c r="AH29" s="1751"/>
      <c r="AI29" s="1721"/>
      <c r="AJ29" s="1749"/>
      <c r="AK29" s="1750"/>
      <c r="AL29" s="1750"/>
      <c r="AM29" s="1750"/>
      <c r="AN29" s="1751"/>
      <c r="AO29" s="1756"/>
    </row>
    <row r="30" spans="1:41" ht="15.75" thickBot="1">
      <c r="A30" s="1722"/>
      <c r="B30" s="251" t="s">
        <v>130</v>
      </c>
      <c r="C30" s="252">
        <f>SUM(C28:C29)</f>
        <v>1.2290000000000001</v>
      </c>
      <c r="D30" s="252">
        <f t="shared" ref="D30:N30" si="9">ROUND(SUM(D28:D29),0)</f>
        <v>246</v>
      </c>
      <c r="E30" s="252">
        <f>SUM(E28:E29)</f>
        <v>1.2290000000000001</v>
      </c>
      <c r="F30" s="252">
        <f t="shared" si="9"/>
        <v>25</v>
      </c>
      <c r="G30" s="252">
        <f>SUM(G28:G29)</f>
        <v>1.2290000000000001</v>
      </c>
      <c r="H30" s="252">
        <f t="shared" si="9"/>
        <v>18</v>
      </c>
      <c r="I30" s="252">
        <f>SUM(I28:I29)</f>
        <v>0</v>
      </c>
      <c r="J30" s="252">
        <f t="shared" si="9"/>
        <v>0</v>
      </c>
      <c r="K30" s="252">
        <f>SUM(K28:K29)</f>
        <v>12.4</v>
      </c>
      <c r="L30" s="252">
        <f t="shared" si="9"/>
        <v>620</v>
      </c>
      <c r="M30" s="252">
        <f t="shared" si="9"/>
        <v>6065</v>
      </c>
      <c r="N30" s="253">
        <f t="shared" si="9"/>
        <v>0</v>
      </c>
      <c r="O30" s="1721"/>
      <c r="P30" s="1752"/>
      <c r="Q30" s="1753"/>
      <c r="R30" s="1753"/>
      <c r="S30" s="1753"/>
      <c r="T30" s="1754"/>
      <c r="U30" s="1721"/>
      <c r="V30" s="1721"/>
      <c r="W30" s="1752"/>
      <c r="X30" s="1753"/>
      <c r="Y30" s="1753"/>
      <c r="Z30" s="1753"/>
      <c r="AA30" s="1754"/>
      <c r="AB30" s="1721"/>
      <c r="AC30" s="1721"/>
      <c r="AD30" s="1752"/>
      <c r="AE30" s="1753"/>
      <c r="AF30" s="1753"/>
      <c r="AG30" s="1753"/>
      <c r="AH30" s="1754"/>
      <c r="AI30" s="1721"/>
      <c r="AJ30" s="1752"/>
      <c r="AK30" s="1753"/>
      <c r="AL30" s="1753"/>
      <c r="AM30" s="1753"/>
      <c r="AN30" s="1754"/>
      <c r="AO30" s="1756"/>
    </row>
    <row r="31" spans="1:41" ht="8.25" customHeight="1">
      <c r="A31" s="1722"/>
      <c r="B31" s="1731"/>
      <c r="C31" s="1731"/>
      <c r="D31" s="1731"/>
      <c r="E31" s="1731"/>
      <c r="F31" s="1731"/>
      <c r="G31" s="1731"/>
      <c r="H31" s="1731"/>
      <c r="I31" s="1731"/>
      <c r="J31" s="1731"/>
      <c r="K31" s="1731"/>
      <c r="L31" s="1731"/>
      <c r="M31" s="1731"/>
      <c r="N31" s="1731"/>
      <c r="O31" s="1721"/>
      <c r="P31" s="1755"/>
      <c r="Q31" s="1755"/>
      <c r="R31" s="1755"/>
      <c r="S31" s="1755"/>
      <c r="T31" s="1755"/>
      <c r="U31" s="1721"/>
      <c r="V31" s="1721"/>
      <c r="W31" s="1755"/>
      <c r="X31" s="1755"/>
      <c r="Y31" s="1755"/>
      <c r="Z31" s="1755"/>
      <c r="AA31" s="1755"/>
      <c r="AB31" s="1721"/>
      <c r="AC31" s="1721"/>
      <c r="AD31" s="1755"/>
      <c r="AE31" s="1755"/>
      <c r="AF31" s="1755"/>
      <c r="AG31" s="1755"/>
      <c r="AH31" s="1755"/>
      <c r="AI31" s="1721"/>
      <c r="AJ31" s="1755"/>
      <c r="AK31" s="1755"/>
      <c r="AL31" s="1755"/>
      <c r="AM31" s="1755"/>
      <c r="AN31" s="1755"/>
      <c r="AO31" s="1756"/>
    </row>
  </sheetData>
  <sheetProtection password="E8FA" sheet="1" objects="1" scenarios="1" formatCells="0" formatColumns="0" formatRows="0" selectLockedCells="1"/>
  <mergeCells count="134">
    <mergeCell ref="H2:N2"/>
    <mergeCell ref="B2:G2"/>
    <mergeCell ref="C15:D15"/>
    <mergeCell ref="E15:F15"/>
    <mergeCell ref="C16:D16"/>
    <mergeCell ref="E16:F16"/>
    <mergeCell ref="AD23:AH30"/>
    <mergeCell ref="A1:N1"/>
    <mergeCell ref="O1:O31"/>
    <mergeCell ref="V1:V31"/>
    <mergeCell ref="AC1:AC31"/>
    <mergeCell ref="W31:AA31"/>
    <mergeCell ref="P31:T31"/>
    <mergeCell ref="U1:U31"/>
    <mergeCell ref="AB1:AB31"/>
    <mergeCell ref="AD2:AH2"/>
    <mergeCell ref="AE3:AH3"/>
    <mergeCell ref="P23:T30"/>
    <mergeCell ref="W8:W9"/>
    <mergeCell ref="W20:X21"/>
    <mergeCell ref="W23:AA30"/>
    <mergeCell ref="R8:R9"/>
    <mergeCell ref="S8:S9"/>
    <mergeCell ref="X5:Y5"/>
    <mergeCell ref="AO1:AO31"/>
    <mergeCell ref="AD31:AH31"/>
    <mergeCell ref="E25:F25"/>
    <mergeCell ref="C25:D25"/>
    <mergeCell ref="P2:T2"/>
    <mergeCell ref="M12:N12"/>
    <mergeCell ref="W1:AA1"/>
    <mergeCell ref="AD1:AH1"/>
    <mergeCell ref="W6:AA7"/>
    <mergeCell ref="AD6:AH7"/>
    <mergeCell ref="X22:AA22"/>
    <mergeCell ref="AE22:AH22"/>
    <mergeCell ref="Y20:Z21"/>
    <mergeCell ref="AA20:AA21"/>
    <mergeCell ref="Y8:Y9"/>
    <mergeCell ref="Z8:Z9"/>
    <mergeCell ref="AA8:AA9"/>
    <mergeCell ref="AD8:AD9"/>
    <mergeCell ref="AE8:AE9"/>
    <mergeCell ref="AF8:AF9"/>
    <mergeCell ref="AG8:AG9"/>
    <mergeCell ref="AH8:AH9"/>
    <mergeCell ref="X8:X9"/>
    <mergeCell ref="B17:N17"/>
    <mergeCell ref="X3:AA3"/>
    <mergeCell ref="AJ20:AK21"/>
    <mergeCell ref="AL20:AM21"/>
    <mergeCell ref="AN20:AN21"/>
    <mergeCell ref="AK22:AN22"/>
    <mergeCell ref="AJ23:AN30"/>
    <mergeCell ref="AJ31:AN31"/>
    <mergeCell ref="AF20:AG21"/>
    <mergeCell ref="AH20:AH21"/>
    <mergeCell ref="A2:A31"/>
    <mergeCell ref="K25:L25"/>
    <mergeCell ref="M25:M26"/>
    <mergeCell ref="N25:N26"/>
    <mergeCell ref="C24:N24"/>
    <mergeCell ref="C18:D18"/>
    <mergeCell ref="E18:F18"/>
    <mergeCell ref="M18:N18"/>
    <mergeCell ref="K18:L18"/>
    <mergeCell ref="I18:J18"/>
    <mergeCell ref="G18:H18"/>
    <mergeCell ref="B18:B20"/>
    <mergeCell ref="B25:B27"/>
    <mergeCell ref="I25:J25"/>
    <mergeCell ref="G25:H25"/>
    <mergeCell ref="B31:N31"/>
    <mergeCell ref="H13:J13"/>
    <mergeCell ref="K13:L13"/>
    <mergeCell ref="M13:N13"/>
    <mergeCell ref="H9:H10"/>
    <mergeCell ref="I9:J10"/>
    <mergeCell ref="M9:N10"/>
    <mergeCell ref="L9:L10"/>
    <mergeCell ref="K9:K10"/>
    <mergeCell ref="Q22:T22"/>
    <mergeCell ref="AJ1:AN1"/>
    <mergeCell ref="AJ2:AN2"/>
    <mergeCell ref="AK3:AN3"/>
    <mergeCell ref="AK4:AN4"/>
    <mergeCell ref="AK5:AL5"/>
    <mergeCell ref="AJ6:AN7"/>
    <mergeCell ref="AJ8:AJ9"/>
    <mergeCell ref="AK8:AK9"/>
    <mergeCell ref="AL8:AL9"/>
    <mergeCell ref="AM8:AM9"/>
    <mergeCell ref="AN8:AN9"/>
    <mergeCell ref="AI1:AI31"/>
    <mergeCell ref="P1:T1"/>
    <mergeCell ref="Q5:R5"/>
    <mergeCell ref="Q3:T3"/>
    <mergeCell ref="Q4:T4"/>
    <mergeCell ref="P8:P9"/>
    <mergeCell ref="Q8:Q9"/>
    <mergeCell ref="X4:AA4"/>
    <mergeCell ref="AE4:AH4"/>
    <mergeCell ref="AE5:AF5"/>
    <mergeCell ref="AD20:AE21"/>
    <mergeCell ref="W2:AA2"/>
    <mergeCell ref="M8:N8"/>
    <mergeCell ref="I8:J8"/>
    <mergeCell ref="H14:J14"/>
    <mergeCell ref="K14:L14"/>
    <mergeCell ref="M14:N14"/>
    <mergeCell ref="H15:J15"/>
    <mergeCell ref="K15:L15"/>
    <mergeCell ref="M15:N15"/>
    <mergeCell ref="P6:T7"/>
    <mergeCell ref="T8:T9"/>
    <mergeCell ref="H3:H4"/>
    <mergeCell ref="I3:J4"/>
    <mergeCell ref="K3:K4"/>
    <mergeCell ref="L3:L4"/>
    <mergeCell ref="M3:N4"/>
    <mergeCell ref="M6:N7"/>
    <mergeCell ref="L6:L7"/>
    <mergeCell ref="K6:K7"/>
    <mergeCell ref="I6:J7"/>
    <mergeCell ref="H6:H7"/>
    <mergeCell ref="H16:J16"/>
    <mergeCell ref="K16:L16"/>
    <mergeCell ref="M16:N16"/>
    <mergeCell ref="P20:Q21"/>
    <mergeCell ref="R20:S21"/>
    <mergeCell ref="T20:T21"/>
    <mergeCell ref="H11:N11"/>
    <mergeCell ref="H12:J12"/>
    <mergeCell ref="K12:L12"/>
  </mergeCells>
  <conditionalFormatting sqref="AA13:AA17 T18:T19 W18:AA19 AD13:AN19">
    <cfRule type="cellIs" dxfId="0" priority="1" operator="equal">
      <formula>0</formula>
    </cfRule>
  </conditionalFormatting>
  <pageMargins left="0.7" right="0.25" top="0.46"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2">
    <tabColor rgb="FF00B0F0"/>
  </sheetPr>
  <dimension ref="A1:XFC55"/>
  <sheetViews>
    <sheetView showGridLines="0" zoomScale="85" zoomScaleNormal="85" workbookViewId="0">
      <selection activeCell="D6" sqref="D6:E6"/>
    </sheetView>
  </sheetViews>
  <sheetFormatPr defaultColWidth="0" defaultRowHeight="15" zeroHeight="1"/>
  <cols>
    <col min="1" max="1" width="1.7109375" style="5" customWidth="1"/>
    <col min="2" max="2" width="15.140625" style="21" customWidth="1"/>
    <col min="3" max="3" width="23.5703125" style="21" customWidth="1"/>
    <col min="4" max="7" width="16.7109375" style="21" customWidth="1"/>
    <col min="8" max="8" width="13" style="21" customWidth="1"/>
    <col min="9" max="9" width="14.85546875" style="21" customWidth="1"/>
    <col min="10" max="10" width="16.7109375" style="21" customWidth="1"/>
    <col min="11" max="11" width="22.42578125" style="5" customWidth="1"/>
    <col min="12" max="12" width="0.28515625" style="5" customWidth="1"/>
    <col min="13" max="16" width="10" style="22" hidden="1" customWidth="1"/>
    <col min="17" max="27" width="13.42578125" style="22" hidden="1" customWidth="1"/>
    <col min="28" max="28" width="8" style="22" hidden="1" customWidth="1"/>
    <col min="29" max="29" width="1.7109375" style="5" hidden="1" customWidth="1"/>
    <col min="30" max="30" width="1.5703125" style="5" hidden="1" customWidth="1"/>
    <col min="31" max="32" width="1.7109375" style="5" hidden="1" customWidth="1"/>
    <col min="33" max="33" width="40.7109375" style="5" hidden="1" customWidth="1"/>
    <col min="34" max="34" width="2.85546875" style="5" customWidth="1"/>
    <col min="35" max="16383" width="9.140625" style="5" hidden="1"/>
    <col min="16384" max="16384" width="7.85546875" style="5" hidden="1"/>
  </cols>
  <sheetData>
    <row r="1" spans="1:33" s="14" customFormat="1" ht="6.75" customHeight="1" thickBot="1">
      <c r="A1" s="673"/>
      <c r="B1" s="673"/>
      <c r="C1" s="673"/>
      <c r="D1" s="673"/>
      <c r="E1" s="673"/>
      <c r="F1" s="673"/>
      <c r="G1" s="673"/>
      <c r="H1" s="673"/>
      <c r="I1" s="673"/>
      <c r="J1" s="673"/>
      <c r="K1" s="673"/>
      <c r="L1" s="673"/>
      <c r="M1" s="673"/>
      <c r="N1" s="673"/>
      <c r="O1" s="673"/>
      <c r="P1" s="673"/>
      <c r="Q1" s="673"/>
      <c r="R1" s="673"/>
      <c r="S1" s="673"/>
      <c r="T1" s="673"/>
      <c r="U1" s="673"/>
      <c r="V1" s="673"/>
      <c r="W1" s="673"/>
      <c r="X1" s="673"/>
      <c r="Y1" s="673"/>
      <c r="Z1" s="673"/>
      <c r="AA1" s="673"/>
      <c r="AB1" s="673"/>
      <c r="AC1" s="673"/>
      <c r="AD1" s="673"/>
    </row>
    <row r="2" spans="1:33" ht="43.5" hidden="1" customHeight="1" thickBot="1">
      <c r="A2" s="673"/>
      <c r="B2" s="737" t="s">
        <v>486</v>
      </c>
      <c r="C2" s="738"/>
      <c r="D2" s="738"/>
      <c r="E2" s="738"/>
      <c r="F2" s="738"/>
      <c r="G2" s="738"/>
      <c r="H2" s="738"/>
      <c r="I2" s="738"/>
      <c r="J2" s="738"/>
      <c r="K2" s="738"/>
      <c r="L2" s="738"/>
      <c r="M2" s="738"/>
      <c r="N2" s="738"/>
      <c r="O2" s="738"/>
      <c r="P2" s="738"/>
      <c r="Q2" s="18"/>
      <c r="R2" s="18"/>
      <c r="S2" s="18"/>
      <c r="T2" s="18"/>
      <c r="U2" s="18"/>
      <c r="V2" s="18"/>
      <c r="W2" s="18"/>
      <c r="X2" s="18"/>
      <c r="Y2" s="18"/>
      <c r="Z2" s="18"/>
      <c r="AA2" s="18"/>
      <c r="AB2" s="18"/>
      <c r="AC2" s="14"/>
      <c r="AD2" s="673"/>
    </row>
    <row r="3" spans="1:33" ht="33" hidden="1" customHeight="1" thickBot="1">
      <c r="A3" s="673"/>
      <c r="B3" s="681" t="s">
        <v>445</v>
      </c>
      <c r="C3" s="682"/>
      <c r="D3" s="682"/>
      <c r="E3" s="682"/>
      <c r="F3" s="682"/>
      <c r="G3" s="682"/>
      <c r="H3" s="682"/>
      <c r="I3" s="682"/>
      <c r="J3" s="682"/>
      <c r="K3" s="682"/>
      <c r="L3" s="682"/>
      <c r="M3" s="682"/>
      <c r="N3" s="682"/>
      <c r="O3" s="682"/>
      <c r="P3" s="683"/>
      <c r="Q3" s="1" t="s">
        <v>58</v>
      </c>
      <c r="R3" s="1" t="s">
        <v>59</v>
      </c>
      <c r="S3" s="1" t="s">
        <v>60</v>
      </c>
      <c r="T3" s="1" t="s">
        <v>61</v>
      </c>
      <c r="U3" s="1" t="s">
        <v>62</v>
      </c>
      <c r="V3" s="1" t="s">
        <v>63</v>
      </c>
      <c r="W3" s="1" t="s">
        <v>64</v>
      </c>
      <c r="X3" s="1" t="s">
        <v>65</v>
      </c>
      <c r="Y3" s="1" t="s">
        <v>66</v>
      </c>
      <c r="Z3" s="1" t="s">
        <v>67</v>
      </c>
      <c r="AA3" s="1" t="s">
        <v>68</v>
      </c>
      <c r="AB3" s="1" t="s">
        <v>69</v>
      </c>
      <c r="AC3" s="14"/>
      <c r="AD3" s="673"/>
    </row>
    <row r="4" spans="1:33" ht="33.75" customHeight="1" thickBot="1">
      <c r="A4" s="673"/>
      <c r="B4" s="743" t="s">
        <v>258</v>
      </c>
      <c r="C4" s="744"/>
      <c r="D4" s="684" t="s">
        <v>479</v>
      </c>
      <c r="E4" s="684"/>
      <c r="F4" s="684"/>
      <c r="G4" s="684"/>
      <c r="H4" s="684"/>
      <c r="I4" s="684"/>
      <c r="J4" s="684"/>
      <c r="K4" s="684"/>
      <c r="L4" s="684"/>
      <c r="M4" s="684"/>
      <c r="N4" s="684"/>
      <c r="O4" s="684"/>
      <c r="P4" s="685"/>
      <c r="Q4" s="1">
        <v>2018</v>
      </c>
      <c r="R4" s="1">
        <v>2019</v>
      </c>
      <c r="S4" s="1">
        <v>2020</v>
      </c>
      <c r="T4" s="1">
        <v>2021</v>
      </c>
      <c r="U4" s="1">
        <v>2022</v>
      </c>
      <c r="V4" s="1">
        <v>2023</v>
      </c>
      <c r="W4" s="1">
        <v>2024</v>
      </c>
      <c r="X4" s="1">
        <v>2025</v>
      </c>
      <c r="Y4" s="1">
        <v>2026</v>
      </c>
      <c r="Z4" s="1">
        <v>2027</v>
      </c>
      <c r="AA4" s="1">
        <v>2028</v>
      </c>
      <c r="AB4" s="1">
        <v>2029</v>
      </c>
      <c r="AC4" s="14"/>
      <c r="AD4" s="673"/>
      <c r="AG4" s="739" t="s">
        <v>484</v>
      </c>
    </row>
    <row r="5" spans="1:33" ht="6" customHeight="1" thickBot="1">
      <c r="A5" s="673"/>
      <c r="B5" s="678"/>
      <c r="C5" s="678"/>
      <c r="D5" s="678"/>
      <c r="E5" s="678"/>
      <c r="F5" s="678"/>
      <c r="G5" s="678"/>
      <c r="H5" s="678"/>
      <c r="I5" s="678"/>
      <c r="J5" s="678"/>
      <c r="K5" s="678"/>
      <c r="L5" s="14"/>
      <c r="M5" s="19"/>
      <c r="N5" s="19"/>
      <c r="O5" s="19"/>
      <c r="P5" s="19"/>
      <c r="Q5" s="2"/>
      <c r="R5" s="2"/>
      <c r="S5" s="2"/>
      <c r="T5" s="2"/>
      <c r="U5" s="2"/>
      <c r="V5" s="2"/>
      <c r="W5" s="2"/>
      <c r="X5" s="2"/>
      <c r="Y5" s="2"/>
      <c r="Z5" s="2"/>
      <c r="AA5" s="2"/>
      <c r="AB5" s="2"/>
      <c r="AC5" s="14"/>
      <c r="AD5" s="673"/>
      <c r="AG5" s="740"/>
    </row>
    <row r="6" spans="1:33" ht="24.75" customHeight="1" thickBot="1">
      <c r="A6" s="673"/>
      <c r="B6" s="745" t="s">
        <v>259</v>
      </c>
      <c r="C6" s="746"/>
      <c r="D6" s="747">
        <v>8150506901</v>
      </c>
      <c r="E6" s="748"/>
      <c r="F6" s="707" t="s">
        <v>151</v>
      </c>
      <c r="G6" s="707"/>
      <c r="H6" s="708"/>
      <c r="I6" s="709" t="s">
        <v>68</v>
      </c>
      <c r="J6" s="710"/>
      <c r="K6" s="70">
        <v>2025</v>
      </c>
      <c r="L6" s="723"/>
      <c r="M6" s="731"/>
      <c r="N6" s="731"/>
      <c r="O6" s="731"/>
      <c r="P6" s="731"/>
      <c r="Q6" s="749" t="s">
        <v>70</v>
      </c>
      <c r="R6" s="749"/>
      <c r="S6" s="750"/>
      <c r="T6" s="751">
        <f>DATE(K6,MONTH(I6&amp;1),1)</f>
        <v>45962</v>
      </c>
      <c r="U6" s="752"/>
      <c r="V6" s="2"/>
      <c r="W6" s="3" t="s">
        <v>71</v>
      </c>
      <c r="X6" s="2"/>
      <c r="Y6" s="2"/>
      <c r="Z6" s="2"/>
      <c r="AA6" s="2"/>
      <c r="AB6" s="2"/>
      <c r="AC6" s="14"/>
      <c r="AD6" s="673"/>
      <c r="AG6" s="740"/>
    </row>
    <row r="7" spans="1:33" s="20" customFormat="1" ht="20.25" customHeight="1" thickBot="1">
      <c r="A7" s="673"/>
      <c r="B7" s="688" t="s">
        <v>35</v>
      </c>
      <c r="C7" s="689"/>
      <c r="D7" s="686" t="s">
        <v>5</v>
      </c>
      <c r="E7" s="687"/>
      <c r="F7" s="711" t="s">
        <v>150</v>
      </c>
      <c r="G7" s="712"/>
      <c r="H7" s="712"/>
      <c r="I7" s="715" t="s">
        <v>106</v>
      </c>
      <c r="J7" s="715"/>
      <c r="K7" s="716"/>
      <c r="L7" s="723"/>
      <c r="M7" s="706"/>
      <c r="N7" s="706"/>
      <c r="O7" s="706"/>
      <c r="P7" s="706"/>
      <c r="Q7" s="753" t="s">
        <v>72</v>
      </c>
      <c r="R7" s="753"/>
      <c r="S7" s="754"/>
      <c r="T7" s="757">
        <f>EOMONTH(T6,0)</f>
        <v>45991</v>
      </c>
      <c r="U7" s="758"/>
      <c r="V7" s="2"/>
      <c r="W7" s="761">
        <f>T7-T6+1</f>
        <v>30</v>
      </c>
      <c r="X7" s="2"/>
      <c r="Y7" s="2"/>
      <c r="Z7" s="2"/>
      <c r="AA7" s="2"/>
      <c r="AB7" s="2"/>
      <c r="AC7" s="14"/>
      <c r="AD7" s="673"/>
      <c r="AG7" s="740"/>
    </row>
    <row r="8" spans="1:33" s="20" customFormat="1" ht="20.25" customHeight="1">
      <c r="A8" s="673"/>
      <c r="B8" s="655" t="s">
        <v>36</v>
      </c>
      <c r="C8" s="656"/>
      <c r="D8" s="660" t="s">
        <v>480</v>
      </c>
      <c r="E8" s="661"/>
      <c r="F8" s="655" t="s">
        <v>41</v>
      </c>
      <c r="G8" s="668"/>
      <c r="H8" s="656"/>
      <c r="I8" s="660" t="s">
        <v>33</v>
      </c>
      <c r="J8" s="661"/>
      <c r="K8" s="662"/>
      <c r="L8" s="723"/>
      <c r="M8" s="717" t="s">
        <v>156</v>
      </c>
      <c r="N8" s="718"/>
      <c r="O8" s="718"/>
      <c r="P8" s="719"/>
      <c r="Q8" s="755"/>
      <c r="R8" s="755"/>
      <c r="S8" s="756"/>
      <c r="T8" s="759"/>
      <c r="U8" s="760"/>
      <c r="V8" s="2"/>
      <c r="W8" s="762"/>
      <c r="X8" s="2"/>
      <c r="Y8" s="2"/>
      <c r="Z8" s="2"/>
      <c r="AA8" s="2"/>
      <c r="AB8" s="2"/>
      <c r="AC8" s="14"/>
      <c r="AD8" s="673"/>
      <c r="AG8" s="741" t="s">
        <v>444</v>
      </c>
    </row>
    <row r="9" spans="1:33" s="20" customFormat="1" ht="20.25" customHeight="1" thickBot="1">
      <c r="A9" s="673"/>
      <c r="B9" s="655" t="s">
        <v>37</v>
      </c>
      <c r="C9" s="656"/>
      <c r="D9" s="679" t="s">
        <v>34</v>
      </c>
      <c r="E9" s="680"/>
      <c r="F9" s="655" t="s">
        <v>42</v>
      </c>
      <c r="G9" s="668"/>
      <c r="H9" s="656"/>
      <c r="I9" s="660">
        <v>0</v>
      </c>
      <c r="J9" s="661"/>
      <c r="K9" s="662"/>
      <c r="L9" s="723"/>
      <c r="M9" s="720"/>
      <c r="N9" s="721"/>
      <c r="O9" s="721"/>
      <c r="P9" s="722"/>
      <c r="Q9" s="19"/>
      <c r="R9" s="19"/>
      <c r="S9" s="19"/>
      <c r="T9" s="19"/>
      <c r="U9" s="19"/>
      <c r="V9" s="19"/>
      <c r="W9" s="19"/>
      <c r="X9" s="19"/>
      <c r="Y9" s="19"/>
      <c r="Z9" s="19"/>
      <c r="AA9" s="19"/>
      <c r="AB9" s="19"/>
      <c r="AC9" s="14"/>
      <c r="AD9" s="673"/>
      <c r="AG9" s="742"/>
    </row>
    <row r="10" spans="1:33" s="20" customFormat="1" ht="20.25" customHeight="1">
      <c r="A10" s="673"/>
      <c r="B10" s="655" t="s">
        <v>38</v>
      </c>
      <c r="C10" s="656"/>
      <c r="D10" s="674" t="s">
        <v>27</v>
      </c>
      <c r="E10" s="675"/>
      <c r="F10" s="655" t="s">
        <v>43</v>
      </c>
      <c r="G10" s="668"/>
      <c r="H10" s="656"/>
      <c r="I10" s="660"/>
      <c r="J10" s="661"/>
      <c r="K10" s="662"/>
      <c r="L10" s="723"/>
      <c r="M10" s="724" t="s">
        <v>128</v>
      </c>
      <c r="N10" s="725"/>
      <c r="O10" s="725"/>
      <c r="P10" s="726"/>
      <c r="Q10" s="19"/>
      <c r="R10" s="19"/>
      <c r="S10" s="19"/>
      <c r="T10" s="19"/>
      <c r="U10" s="19"/>
      <c r="V10" s="19"/>
      <c r="W10" s="19"/>
      <c r="X10" s="19"/>
      <c r="Y10" s="19"/>
      <c r="Z10" s="19"/>
      <c r="AA10" s="19"/>
      <c r="AB10" s="19"/>
      <c r="AC10" s="14"/>
      <c r="AD10" s="673"/>
      <c r="AG10" s="14"/>
    </row>
    <row r="11" spans="1:33" s="20" customFormat="1" ht="20.25" customHeight="1" thickBot="1">
      <c r="A11" s="673"/>
      <c r="B11" s="655" t="s">
        <v>39</v>
      </c>
      <c r="C11" s="656"/>
      <c r="D11" s="666" t="s">
        <v>30</v>
      </c>
      <c r="E11" s="667"/>
      <c r="F11" s="655" t="s">
        <v>44</v>
      </c>
      <c r="G11" s="668"/>
      <c r="H11" s="656"/>
      <c r="I11" s="657"/>
      <c r="J11" s="658"/>
      <c r="K11" s="659"/>
      <c r="L11" s="723"/>
      <c r="M11" s="163" t="s">
        <v>207</v>
      </c>
      <c r="N11" s="164" t="s">
        <v>159</v>
      </c>
      <c r="O11" s="165" t="s">
        <v>160</v>
      </c>
      <c r="P11" s="166" t="s">
        <v>130</v>
      </c>
      <c r="Q11" s="19"/>
      <c r="R11" s="19"/>
      <c r="S11" s="19"/>
      <c r="T11" s="19"/>
      <c r="U11" s="19"/>
      <c r="V11" s="19"/>
      <c r="W11" s="19"/>
      <c r="X11" s="19"/>
      <c r="Y11" s="19"/>
      <c r="Z11" s="19"/>
      <c r="AA11" s="19"/>
      <c r="AB11" s="19"/>
      <c r="AC11" s="14"/>
      <c r="AD11" s="673"/>
      <c r="AG11" s="14"/>
    </row>
    <row r="12" spans="1:33" s="20" customFormat="1" ht="20.25" customHeight="1">
      <c r="A12" s="673"/>
      <c r="B12" s="676" t="s">
        <v>40</v>
      </c>
      <c r="C12" s="677"/>
      <c r="D12" s="666"/>
      <c r="E12" s="667"/>
      <c r="F12" s="732" t="s">
        <v>45</v>
      </c>
      <c r="G12" s="733"/>
      <c r="H12" s="734"/>
      <c r="I12" s="660"/>
      <c r="J12" s="661"/>
      <c r="K12" s="662"/>
      <c r="L12" s="723"/>
      <c r="M12" s="403" t="s">
        <v>173</v>
      </c>
      <c r="N12" s="412">
        <f>Namankan!K5</f>
        <v>21</v>
      </c>
      <c r="O12" s="412">
        <f>Namankan!L5</f>
        <v>32</v>
      </c>
      <c r="P12" s="404">
        <f>N12+O12</f>
        <v>53</v>
      </c>
      <c r="Q12" s="19"/>
      <c r="R12" s="19"/>
      <c r="S12" s="19"/>
      <c r="T12" s="19"/>
      <c r="U12" s="19"/>
      <c r="V12" s="19"/>
      <c r="W12" s="19"/>
      <c r="X12" s="19"/>
      <c r="Y12" s="19"/>
      <c r="Z12" s="19"/>
      <c r="AA12" s="19"/>
      <c r="AB12" s="19"/>
      <c r="AC12" s="14"/>
      <c r="AD12" s="673"/>
      <c r="AG12" s="14"/>
    </row>
    <row r="13" spans="1:33" s="20" customFormat="1" ht="26.25" customHeight="1" thickBot="1">
      <c r="A13" s="673"/>
      <c r="B13" s="671" t="s">
        <v>46</v>
      </c>
      <c r="C13" s="672"/>
      <c r="D13" s="669"/>
      <c r="E13" s="670"/>
      <c r="F13" s="713" t="s">
        <v>48</v>
      </c>
      <c r="G13" s="714"/>
      <c r="H13" s="714"/>
      <c r="I13" s="660"/>
      <c r="J13" s="661"/>
      <c r="K13" s="662"/>
      <c r="L13" s="723"/>
      <c r="M13" s="405" t="s">
        <v>174</v>
      </c>
      <c r="N13" s="413">
        <f>Namankan!K6</f>
        <v>25</v>
      </c>
      <c r="O13" s="413">
        <f>Namankan!L6</f>
        <v>36</v>
      </c>
      <c r="P13" s="406">
        <f t="shared" ref="P13:P16" si="0">N13+O13</f>
        <v>61</v>
      </c>
      <c r="Q13" s="19"/>
      <c r="R13" s="19"/>
      <c r="S13" s="19"/>
      <c r="T13" s="19"/>
      <c r="U13" s="19"/>
      <c r="V13" s="19"/>
      <c r="W13" s="19"/>
      <c r="X13" s="19"/>
      <c r="Y13" s="19"/>
      <c r="Z13" s="19"/>
      <c r="AA13" s="19"/>
      <c r="AB13" s="19"/>
      <c r="AC13" s="14"/>
      <c r="AD13" s="673"/>
      <c r="AG13" s="14"/>
    </row>
    <row r="14" spans="1:33" ht="5.25" customHeight="1" thickBot="1">
      <c r="A14" s="673"/>
      <c r="B14" s="690"/>
      <c r="C14" s="690"/>
      <c r="D14" s="690"/>
      <c r="E14" s="690"/>
      <c r="F14" s="690"/>
      <c r="G14" s="690"/>
      <c r="H14" s="690"/>
      <c r="I14" s="690"/>
      <c r="J14" s="690"/>
      <c r="K14" s="690"/>
      <c r="L14" s="723"/>
      <c r="M14" s="405" t="s">
        <v>175</v>
      </c>
      <c r="N14" s="413">
        <f>Namankan!K7</f>
        <v>29</v>
      </c>
      <c r="O14" s="413">
        <f>Namankan!L7</f>
        <v>40</v>
      </c>
      <c r="P14" s="406">
        <f t="shared" si="0"/>
        <v>69</v>
      </c>
      <c r="Q14" s="19"/>
      <c r="R14" s="19"/>
      <c r="S14" s="19"/>
      <c r="T14" s="19"/>
      <c r="U14" s="19"/>
      <c r="V14" s="19"/>
      <c r="W14" s="19"/>
      <c r="X14" s="19"/>
      <c r="Y14" s="19"/>
      <c r="Z14" s="19"/>
      <c r="AA14" s="19"/>
      <c r="AB14" s="19"/>
      <c r="AC14" s="14"/>
      <c r="AD14" s="673"/>
    </row>
    <row r="15" spans="1:33" ht="20.25" customHeight="1">
      <c r="A15" s="673"/>
      <c r="B15" s="663" t="s">
        <v>262</v>
      </c>
      <c r="C15" s="664"/>
      <c r="D15" s="665"/>
      <c r="E15" s="67">
        <v>6.78</v>
      </c>
      <c r="F15" s="693" t="s">
        <v>269</v>
      </c>
      <c r="G15" s="694"/>
      <c r="H15" s="694"/>
      <c r="I15" s="695"/>
      <c r="J15" s="699" t="s">
        <v>272</v>
      </c>
      <c r="K15" s="701">
        <v>2143</v>
      </c>
      <c r="L15" s="723"/>
      <c r="M15" s="405" t="s">
        <v>176</v>
      </c>
      <c r="N15" s="413">
        <f>Namankan!K8</f>
        <v>33</v>
      </c>
      <c r="O15" s="413">
        <f>Namankan!L8</f>
        <v>44</v>
      </c>
      <c r="P15" s="406">
        <f t="shared" si="0"/>
        <v>77</v>
      </c>
      <c r="Q15" s="19"/>
      <c r="R15" s="19"/>
      <c r="S15" s="19"/>
      <c r="T15" s="19"/>
      <c r="U15" s="19"/>
      <c r="V15" s="19"/>
      <c r="W15" s="19"/>
      <c r="X15" s="19"/>
      <c r="Y15" s="19"/>
      <c r="Z15" s="19"/>
      <c r="AA15" s="19"/>
      <c r="AB15" s="19"/>
      <c r="AC15" s="14"/>
      <c r="AD15" s="673"/>
    </row>
    <row r="16" spans="1:33" ht="20.25" customHeight="1" thickBot="1">
      <c r="A16" s="673"/>
      <c r="B16" s="663" t="s">
        <v>263</v>
      </c>
      <c r="C16" s="664"/>
      <c r="D16" s="665"/>
      <c r="E16" s="67">
        <v>10.17</v>
      </c>
      <c r="F16" s="696"/>
      <c r="G16" s="697"/>
      <c r="H16" s="697"/>
      <c r="I16" s="698"/>
      <c r="J16" s="700"/>
      <c r="K16" s="702"/>
      <c r="L16" s="723"/>
      <c r="M16" s="407" t="s">
        <v>177</v>
      </c>
      <c r="N16" s="414">
        <f>Namankan!K9</f>
        <v>37</v>
      </c>
      <c r="O16" s="414">
        <f>Namankan!L9</f>
        <v>48</v>
      </c>
      <c r="P16" s="408">
        <f t="shared" si="0"/>
        <v>85</v>
      </c>
      <c r="Q16" s="19"/>
      <c r="R16" s="19"/>
      <c r="S16" s="19"/>
      <c r="T16" s="19"/>
      <c r="U16" s="19"/>
      <c r="V16" s="19"/>
      <c r="W16" s="19"/>
      <c r="X16" s="19"/>
      <c r="Y16" s="19"/>
      <c r="Z16" s="19"/>
      <c r="AA16" s="19"/>
      <c r="AB16" s="19"/>
      <c r="AC16" s="14"/>
      <c r="AD16" s="673"/>
    </row>
    <row r="17" spans="1:30" ht="20.25" customHeight="1" thickBot="1">
      <c r="A17" s="673"/>
      <c r="B17" s="663" t="s">
        <v>261</v>
      </c>
      <c r="C17" s="664"/>
      <c r="D17" s="665"/>
      <c r="E17" s="461">
        <v>100</v>
      </c>
      <c r="F17" s="168" t="s">
        <v>122</v>
      </c>
      <c r="G17" s="691" t="s">
        <v>223</v>
      </c>
      <c r="H17" s="692"/>
      <c r="I17" s="169" t="s">
        <v>270</v>
      </c>
      <c r="J17" s="169" t="s">
        <v>271</v>
      </c>
      <c r="K17" s="31" t="s">
        <v>47</v>
      </c>
      <c r="L17" s="723"/>
      <c r="M17" s="409" t="s">
        <v>260</v>
      </c>
      <c r="N17" s="410">
        <f>SUM(N12:N16)</f>
        <v>145</v>
      </c>
      <c r="O17" s="410">
        <f t="shared" ref="O17:P17" si="1">SUM(O12:O16)</f>
        <v>200</v>
      </c>
      <c r="P17" s="411">
        <f t="shared" si="1"/>
        <v>345</v>
      </c>
      <c r="Q17" s="19"/>
      <c r="R17" s="19"/>
      <c r="S17" s="19"/>
      <c r="T17" s="19"/>
      <c r="U17" s="19"/>
      <c r="V17" s="19"/>
      <c r="W17" s="19"/>
      <c r="X17" s="19"/>
      <c r="Y17" s="19"/>
      <c r="Z17" s="19"/>
      <c r="AA17" s="19"/>
      <c r="AB17" s="19"/>
      <c r="AC17" s="14"/>
      <c r="AD17" s="673"/>
    </row>
    <row r="18" spans="1:30" ht="26.25" customHeight="1">
      <c r="A18" s="673"/>
      <c r="B18" s="663" t="s">
        <v>264</v>
      </c>
      <c r="C18" s="664"/>
      <c r="D18" s="665"/>
      <c r="E18" s="461">
        <v>150</v>
      </c>
      <c r="F18" s="153">
        <v>1</v>
      </c>
      <c r="G18" s="729" t="s">
        <v>144</v>
      </c>
      <c r="H18" s="730"/>
      <c r="I18" s="13" t="s">
        <v>145</v>
      </c>
      <c r="J18" s="13" t="s">
        <v>146</v>
      </c>
      <c r="K18" s="415"/>
      <c r="L18" s="723"/>
      <c r="M18" s="703" t="s">
        <v>129</v>
      </c>
      <c r="N18" s="704"/>
      <c r="O18" s="704"/>
      <c r="P18" s="705"/>
      <c r="Q18" s="19"/>
      <c r="R18" s="19"/>
      <c r="S18" s="19"/>
      <c r="T18" s="19"/>
      <c r="U18" s="19"/>
      <c r="V18" s="19"/>
      <c r="W18" s="19"/>
      <c r="X18" s="19"/>
      <c r="Y18" s="19"/>
      <c r="Z18" s="19"/>
      <c r="AA18" s="19"/>
      <c r="AB18" s="19"/>
      <c r="AC18" s="14"/>
      <c r="AD18" s="673"/>
    </row>
    <row r="19" spans="1:30" s="14" customFormat="1" ht="27.75" customHeight="1">
      <c r="A19" s="673"/>
      <c r="B19" s="663" t="s">
        <v>265</v>
      </c>
      <c r="C19" s="664"/>
      <c r="D19" s="665"/>
      <c r="E19" s="488">
        <v>0.45</v>
      </c>
      <c r="F19" s="154">
        <f t="shared" ref="F19:F22" si="2">IF(G19=0,0,F18+1)</f>
        <v>2</v>
      </c>
      <c r="G19" s="735" t="s">
        <v>474</v>
      </c>
      <c r="H19" s="736"/>
      <c r="I19" s="12" t="s">
        <v>145</v>
      </c>
      <c r="J19" s="12" t="s">
        <v>21</v>
      </c>
      <c r="K19" s="416"/>
      <c r="L19" s="723"/>
      <c r="M19" s="405" t="s">
        <v>178</v>
      </c>
      <c r="N19" s="413">
        <f>Namankan!K11</f>
        <v>41</v>
      </c>
      <c r="O19" s="413">
        <f>Namankan!L11</f>
        <v>52</v>
      </c>
      <c r="P19" s="406">
        <f>N19+O19</f>
        <v>93</v>
      </c>
      <c r="Q19" s="69"/>
      <c r="R19" s="69"/>
      <c r="S19" s="69"/>
      <c r="T19" s="69"/>
      <c r="U19" s="69"/>
      <c r="V19" s="69"/>
      <c r="W19" s="69"/>
      <c r="X19" s="69"/>
      <c r="Y19" s="69"/>
      <c r="Z19" s="69"/>
      <c r="AA19" s="69"/>
      <c r="AB19" s="69"/>
      <c r="AC19" s="69"/>
    </row>
    <row r="20" spans="1:30" s="14" customFormat="1" ht="27.75" customHeight="1">
      <c r="A20" s="673"/>
      <c r="B20" s="663" t="s">
        <v>266</v>
      </c>
      <c r="C20" s="664"/>
      <c r="D20" s="665"/>
      <c r="E20" s="488">
        <v>0.45</v>
      </c>
      <c r="F20" s="154">
        <f t="shared" si="2"/>
        <v>0</v>
      </c>
      <c r="G20" s="735"/>
      <c r="H20" s="736"/>
      <c r="I20" s="12"/>
      <c r="J20" s="12"/>
      <c r="K20" s="416"/>
      <c r="L20" s="723"/>
      <c r="M20" s="405" t="s">
        <v>179</v>
      </c>
      <c r="N20" s="413">
        <f>Namankan!K12</f>
        <v>45</v>
      </c>
      <c r="O20" s="413">
        <f>Namankan!L12</f>
        <v>56</v>
      </c>
      <c r="P20" s="406">
        <f t="shared" ref="P20:P21" si="3">N20+O20</f>
        <v>101</v>
      </c>
      <c r="Q20" s="69"/>
      <c r="R20" s="69"/>
      <c r="S20" s="69"/>
      <c r="T20" s="69"/>
      <c r="U20" s="69"/>
      <c r="V20" s="69"/>
      <c r="W20" s="69"/>
      <c r="X20" s="69"/>
      <c r="Y20" s="69"/>
      <c r="Z20" s="69"/>
      <c r="AA20" s="69"/>
      <c r="AB20" s="69"/>
      <c r="AC20" s="69"/>
    </row>
    <row r="21" spans="1:30" s="14" customFormat="1" ht="27.75" customHeight="1" thickBot="1">
      <c r="A21" s="673"/>
      <c r="B21" s="459" t="s">
        <v>462</v>
      </c>
      <c r="C21" s="455">
        <v>15</v>
      </c>
      <c r="D21" s="459" t="s">
        <v>463</v>
      </c>
      <c r="E21" s="456">
        <v>20</v>
      </c>
      <c r="F21" s="154">
        <f t="shared" si="2"/>
        <v>0</v>
      </c>
      <c r="G21" s="735"/>
      <c r="H21" s="736"/>
      <c r="I21" s="12"/>
      <c r="J21" s="12"/>
      <c r="K21" s="416"/>
      <c r="L21" s="723"/>
      <c r="M21" s="454" t="s">
        <v>180</v>
      </c>
      <c r="N21" s="413">
        <f>Namankan!K13</f>
        <v>49</v>
      </c>
      <c r="O21" s="413">
        <f>Namankan!L13</f>
        <v>60</v>
      </c>
      <c r="P21" s="406">
        <f t="shared" si="3"/>
        <v>109</v>
      </c>
      <c r="Q21" s="69"/>
      <c r="R21" s="69"/>
      <c r="S21" s="69"/>
      <c r="T21" s="69"/>
      <c r="U21" s="69"/>
      <c r="V21" s="69"/>
      <c r="W21" s="69"/>
      <c r="X21" s="69"/>
      <c r="Y21" s="69"/>
      <c r="Z21" s="69"/>
      <c r="AA21" s="69"/>
      <c r="AB21" s="69"/>
      <c r="AC21" s="69"/>
    </row>
    <row r="22" spans="1:30" s="14" customFormat="1" ht="27.75" customHeight="1" thickBot="1">
      <c r="A22" s="673"/>
      <c r="B22" s="460" t="s">
        <v>267</v>
      </c>
      <c r="C22" s="457">
        <v>8.4</v>
      </c>
      <c r="D22" s="460" t="s">
        <v>268</v>
      </c>
      <c r="E22" s="458">
        <v>10.199999999999999</v>
      </c>
      <c r="F22" s="155">
        <f t="shared" si="2"/>
        <v>0</v>
      </c>
      <c r="G22" s="727">
        <v>0</v>
      </c>
      <c r="H22" s="728"/>
      <c r="I22" s="4"/>
      <c r="J22" s="4"/>
      <c r="K22" s="417"/>
      <c r="L22" s="723"/>
      <c r="M22" s="167" t="s">
        <v>260</v>
      </c>
      <c r="N22" s="107">
        <f>SUM(N19:N21)</f>
        <v>135</v>
      </c>
      <c r="O22" s="107">
        <f t="shared" ref="O22:P22" si="4">SUM(O19:O21)</f>
        <v>168</v>
      </c>
      <c r="P22" s="107">
        <f t="shared" si="4"/>
        <v>303</v>
      </c>
      <c r="Q22" s="69"/>
      <c r="R22" s="69"/>
      <c r="S22" s="69"/>
      <c r="T22" s="69"/>
      <c r="U22" s="69"/>
      <c r="V22" s="69"/>
      <c r="W22" s="69"/>
      <c r="X22" s="69"/>
      <c r="Y22" s="69"/>
      <c r="Z22" s="69"/>
      <c r="AA22" s="69"/>
      <c r="AB22" s="69"/>
      <c r="AC22" s="69"/>
    </row>
    <row r="23" spans="1:30">
      <c r="L23" s="28"/>
      <c r="M23" s="68"/>
      <c r="N23" s="68"/>
      <c r="O23" s="68"/>
      <c r="P23" s="68"/>
      <c r="Q23" s="19"/>
      <c r="R23" s="19"/>
      <c r="S23" s="19"/>
      <c r="T23" s="19"/>
      <c r="U23" s="19"/>
      <c r="V23" s="19"/>
      <c r="W23" s="19"/>
      <c r="X23" s="19"/>
      <c r="Y23" s="19"/>
      <c r="Z23" s="19"/>
      <c r="AA23" s="19"/>
      <c r="AB23" s="19"/>
    </row>
    <row r="24" spans="1:30" hidden="1">
      <c r="M24" s="19"/>
      <c r="N24" s="19"/>
      <c r="O24" s="19"/>
      <c r="P24" s="19"/>
      <c r="Q24" s="19"/>
      <c r="R24" s="19"/>
      <c r="S24" s="19"/>
      <c r="T24" s="19"/>
      <c r="U24" s="19"/>
      <c r="V24" s="19"/>
      <c r="W24" s="19"/>
      <c r="X24" s="19"/>
      <c r="Y24" s="19"/>
      <c r="Z24" s="19"/>
      <c r="AA24" s="19"/>
      <c r="AB24" s="19"/>
    </row>
    <row r="25" spans="1:30" hidden="1">
      <c r="M25" s="19"/>
      <c r="N25" s="19"/>
      <c r="O25" s="19"/>
      <c r="P25" s="19"/>
      <c r="Q25" s="19"/>
      <c r="R25" s="19"/>
      <c r="S25" s="19"/>
      <c r="T25" s="19"/>
      <c r="U25" s="19"/>
      <c r="V25" s="19"/>
      <c r="W25" s="19"/>
      <c r="X25" s="19"/>
      <c r="Y25" s="19"/>
      <c r="Z25" s="19"/>
      <c r="AA25" s="19"/>
      <c r="AB25" s="19"/>
    </row>
    <row r="26" spans="1:30" hidden="1">
      <c r="M26" s="19"/>
      <c r="N26" s="19"/>
      <c r="O26" s="19"/>
      <c r="P26" s="19"/>
      <c r="Q26" s="19"/>
      <c r="R26" s="19"/>
      <c r="S26" s="19"/>
      <c r="T26" s="19"/>
      <c r="U26" s="19"/>
      <c r="V26" s="19"/>
      <c r="W26" s="19"/>
      <c r="X26" s="19"/>
      <c r="Y26" s="19"/>
      <c r="Z26" s="19"/>
      <c r="AA26" s="19"/>
      <c r="AB26" s="19"/>
    </row>
    <row r="27" spans="1:30" hidden="1">
      <c r="M27" s="19"/>
      <c r="N27" s="19"/>
      <c r="O27" s="19"/>
      <c r="P27" s="19"/>
      <c r="Q27" s="19"/>
      <c r="R27" s="19"/>
      <c r="S27" s="19"/>
      <c r="T27" s="19"/>
      <c r="U27" s="19"/>
      <c r="V27" s="19"/>
      <c r="W27" s="19"/>
      <c r="X27" s="19"/>
      <c r="Y27" s="19"/>
      <c r="Z27" s="19"/>
      <c r="AA27" s="19"/>
      <c r="AB27" s="19"/>
    </row>
    <row r="28" spans="1:30" hidden="1">
      <c r="M28" s="19"/>
      <c r="N28" s="19"/>
      <c r="O28" s="19"/>
      <c r="P28" s="19"/>
      <c r="Q28" s="19"/>
      <c r="R28" s="19"/>
      <c r="S28" s="19"/>
      <c r="T28" s="19"/>
      <c r="U28" s="19"/>
      <c r="V28" s="19"/>
      <c r="W28" s="19"/>
      <c r="X28" s="19"/>
      <c r="Y28" s="19"/>
      <c r="Z28" s="19"/>
      <c r="AA28" s="19"/>
      <c r="AB28" s="19"/>
    </row>
    <row r="29" spans="1:30" hidden="1">
      <c r="M29" s="19"/>
      <c r="N29" s="19"/>
      <c r="O29" s="19"/>
      <c r="P29" s="19"/>
      <c r="Q29" s="19"/>
      <c r="R29" s="19"/>
      <c r="S29" s="19"/>
      <c r="T29" s="19"/>
      <c r="U29" s="19"/>
      <c r="V29" s="19"/>
      <c r="W29" s="19"/>
      <c r="X29" s="19"/>
      <c r="Y29" s="19"/>
      <c r="Z29" s="19"/>
      <c r="AA29" s="19"/>
      <c r="AB29" s="19"/>
    </row>
    <row r="30" spans="1:30" hidden="1">
      <c r="M30" s="19"/>
      <c r="N30" s="19"/>
      <c r="O30" s="19"/>
      <c r="P30" s="19"/>
      <c r="Q30" s="19"/>
      <c r="R30" s="19"/>
      <c r="S30" s="19"/>
      <c r="T30" s="19"/>
      <c r="U30" s="19"/>
      <c r="V30" s="19"/>
      <c r="W30" s="19"/>
      <c r="X30" s="19"/>
      <c r="Y30" s="19"/>
      <c r="Z30" s="19"/>
      <c r="AA30" s="19"/>
      <c r="AB30" s="19"/>
    </row>
    <row r="31" spans="1:30" hidden="1">
      <c r="M31" s="19"/>
      <c r="N31" s="19"/>
      <c r="O31" s="19"/>
      <c r="P31" s="19"/>
      <c r="Q31" s="19"/>
      <c r="R31" s="19"/>
      <c r="S31" s="19"/>
      <c r="T31" s="19"/>
      <c r="U31" s="19"/>
      <c r="V31" s="19"/>
      <c r="W31" s="19"/>
      <c r="X31" s="19"/>
      <c r="Y31" s="19"/>
      <c r="Z31" s="19"/>
      <c r="AA31" s="19"/>
      <c r="AB31" s="19"/>
    </row>
    <row r="32" spans="1:30" hidden="1">
      <c r="M32" s="19"/>
      <c r="N32" s="19"/>
      <c r="O32" s="19"/>
      <c r="P32" s="19"/>
      <c r="Q32" s="19"/>
      <c r="R32" s="19"/>
      <c r="S32" s="19"/>
      <c r="T32" s="19"/>
      <c r="U32" s="19"/>
      <c r="V32" s="19"/>
      <c r="W32" s="19"/>
      <c r="X32" s="19"/>
      <c r="Y32" s="19"/>
      <c r="Z32" s="19"/>
      <c r="AA32" s="19"/>
      <c r="AB32" s="19"/>
    </row>
    <row r="33" spans="13:28" hidden="1">
      <c r="M33" s="19"/>
      <c r="N33" s="19"/>
      <c r="O33" s="19"/>
      <c r="P33" s="19"/>
      <c r="Q33" s="19"/>
      <c r="R33" s="19"/>
      <c r="S33" s="19"/>
      <c r="T33" s="19"/>
      <c r="U33" s="19"/>
      <c r="V33" s="19"/>
      <c r="W33" s="19"/>
      <c r="X33" s="19"/>
      <c r="Y33" s="19"/>
      <c r="Z33" s="19"/>
      <c r="AA33" s="19"/>
      <c r="AB33" s="19"/>
    </row>
    <row r="34" spans="13:28" hidden="1">
      <c r="M34" s="19"/>
      <c r="N34" s="19"/>
      <c r="AB34" s="18"/>
    </row>
    <row r="35" spans="13:28" hidden="1">
      <c r="M35" s="19"/>
      <c r="N35" s="19"/>
      <c r="AB35" s="18"/>
    </row>
    <row r="36" spans="13:28" hidden="1">
      <c r="M36" s="19"/>
      <c r="N36" s="19"/>
      <c r="AB36" s="18"/>
    </row>
    <row r="37" spans="13:28" hidden="1">
      <c r="M37" s="19"/>
      <c r="N37" s="19"/>
      <c r="AB37" s="18"/>
    </row>
    <row r="38" spans="13:28" hidden="1">
      <c r="AB38" s="18"/>
    </row>
    <row r="39" spans="13:28" hidden="1">
      <c r="AB39" s="18"/>
    </row>
    <row r="40" spans="13:28" hidden="1">
      <c r="AB40" s="18"/>
    </row>
    <row r="41" spans="13:28" hidden="1">
      <c r="AB41" s="18"/>
    </row>
    <row r="42" spans="13:28" hidden="1">
      <c r="AB42" s="18"/>
    </row>
    <row r="43" spans="13:28" hidden="1">
      <c r="AB43" s="18"/>
    </row>
    <row r="44" spans="13:28" hidden="1">
      <c r="AB44" s="18"/>
    </row>
    <row r="45" spans="13:28" hidden="1">
      <c r="AB45" s="18"/>
    </row>
    <row r="46" spans="13:28" hidden="1">
      <c r="AB46" s="18"/>
    </row>
    <row r="47" spans="13:28" hidden="1">
      <c r="AB47" s="18"/>
    </row>
    <row r="48" spans="13:28" hidden="1">
      <c r="AB48" s="18"/>
    </row>
    <row r="49" spans="28:28" hidden="1">
      <c r="AB49" s="18"/>
    </row>
    <row r="50" spans="28:28" hidden="1">
      <c r="AB50" s="18"/>
    </row>
    <row r="51" spans="28:28" hidden="1">
      <c r="AB51" s="18"/>
    </row>
    <row r="52" spans="28:28" hidden="1">
      <c r="AB52" s="18"/>
    </row>
    <row r="53" spans="28:28" hidden="1">
      <c r="AB53" s="18"/>
    </row>
    <row r="54" spans="28:28"/>
    <row r="55" spans="28:28"/>
  </sheetData>
  <sheetProtection password="E8FA" sheet="1" objects="1" scenarios="1" formatCells="0" formatColumns="0" formatRows="0" selectLockedCells="1"/>
  <mergeCells count="69">
    <mergeCell ref="G19:H19"/>
    <mergeCell ref="G20:H20"/>
    <mergeCell ref="G21:H21"/>
    <mergeCell ref="B2:P2"/>
    <mergeCell ref="AG4:AG7"/>
    <mergeCell ref="AG8:AG9"/>
    <mergeCell ref="B4:C4"/>
    <mergeCell ref="B6:C6"/>
    <mergeCell ref="D6:E6"/>
    <mergeCell ref="AD1:AD18"/>
    <mergeCell ref="Q6:S6"/>
    <mergeCell ref="T6:U6"/>
    <mergeCell ref="Q7:S8"/>
    <mergeCell ref="T7:U8"/>
    <mergeCell ref="W7:W8"/>
    <mergeCell ref="A1:AC1"/>
    <mergeCell ref="M18:P18"/>
    <mergeCell ref="M7:P7"/>
    <mergeCell ref="F6:H6"/>
    <mergeCell ref="I6:J6"/>
    <mergeCell ref="F7:H7"/>
    <mergeCell ref="F13:H13"/>
    <mergeCell ref="I13:K13"/>
    <mergeCell ref="I7:K7"/>
    <mergeCell ref="M8:P9"/>
    <mergeCell ref="L6:L22"/>
    <mergeCell ref="M10:P10"/>
    <mergeCell ref="G22:H22"/>
    <mergeCell ref="G18:H18"/>
    <mergeCell ref="M6:P6"/>
    <mergeCell ref="F8:H8"/>
    <mergeCell ref="F12:H12"/>
    <mergeCell ref="B14:K14"/>
    <mergeCell ref="G17:H17"/>
    <mergeCell ref="F15:I16"/>
    <mergeCell ref="J15:J16"/>
    <mergeCell ref="K15:K16"/>
    <mergeCell ref="A2:A22"/>
    <mergeCell ref="B10:C10"/>
    <mergeCell ref="D10:E10"/>
    <mergeCell ref="B12:C12"/>
    <mergeCell ref="B19:D19"/>
    <mergeCell ref="B5:K5"/>
    <mergeCell ref="B9:C9"/>
    <mergeCell ref="D9:E9"/>
    <mergeCell ref="F9:H9"/>
    <mergeCell ref="I9:K9"/>
    <mergeCell ref="D8:E8"/>
    <mergeCell ref="B3:P3"/>
    <mergeCell ref="D4:P4"/>
    <mergeCell ref="D7:E7"/>
    <mergeCell ref="I8:K8"/>
    <mergeCell ref="B7:C7"/>
    <mergeCell ref="B8:C8"/>
    <mergeCell ref="I11:K11"/>
    <mergeCell ref="I10:K10"/>
    <mergeCell ref="I12:K12"/>
    <mergeCell ref="B20:D20"/>
    <mergeCell ref="B11:C11"/>
    <mergeCell ref="D11:E11"/>
    <mergeCell ref="F10:H10"/>
    <mergeCell ref="F11:H11"/>
    <mergeCell ref="D12:E12"/>
    <mergeCell ref="D13:E13"/>
    <mergeCell ref="B18:D18"/>
    <mergeCell ref="B17:D17"/>
    <mergeCell ref="B16:D16"/>
    <mergeCell ref="B13:C13"/>
    <mergeCell ref="B15:D15"/>
  </mergeCells>
  <conditionalFormatting sqref="M44:Y1048576 L23:L1048576 Z23:AD1048576 B23:E1048576 H23:H1048576 N19:O21 M23:Y37 I8:I13 E5:J5 M11 AG14:AG1048576 H17 I17:K1048576 G14:I14 Q9:AB18 Q2:AD2 E13 D4:D13 J14:K15 B2:B13 E7 C5 M5:P5 N11:O16 F6:F15 K5:K6 P11 AE2:AF1048576 AH2:XFD1048576 AG2:AG4 B14:E20 M18:P18 F17:G1048576">
    <cfRule type="cellIs" dxfId="30" priority="20" operator="equal">
      <formula>0</formula>
    </cfRule>
  </conditionalFormatting>
  <dataValidations count="5">
    <dataValidation type="list" allowBlank="1" showInputMessage="1" showErrorMessage="1" sqref="I6">
      <formula1>$Q$3:$AB$3</formula1>
    </dataValidation>
    <dataValidation type="list" allowBlank="1" showInputMessage="1" showErrorMessage="1" sqref="I7">
      <formula1>"Sr.Sec.(I to XII),Sec.(I to X),Up.Pri.(I to VIII),Pri.(I to V)"</formula1>
    </dataValidation>
    <dataValidation type="list" allowBlank="1" showInputMessage="1" showErrorMessage="1" sqref="I18:I22">
      <formula1>"Female,Male"</formula1>
    </dataValidation>
    <dataValidation type="list" allowBlank="1" showInputMessage="1" showErrorMessage="1" sqref="J18:J22">
      <formula1>"GEN,OBC,SC,ST,SBC"</formula1>
    </dataValidation>
    <dataValidation type="list" allowBlank="1" showInputMessage="1" showErrorMessage="1" sqref="K6">
      <formula1>$Q$4:$AB$4</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N16"/>
  <sheetViews>
    <sheetView showRowColHeaders="0" workbookViewId="0">
      <selection activeCell="G13" sqref="G13"/>
    </sheetView>
  </sheetViews>
  <sheetFormatPr defaultColWidth="0" defaultRowHeight="15" zeroHeight="1"/>
  <cols>
    <col min="1" max="1" width="3" style="17" customWidth="1"/>
    <col min="2" max="2" width="15" style="17" customWidth="1"/>
    <col min="3" max="13" width="12.5703125" style="17" customWidth="1"/>
    <col min="14" max="14" width="3.7109375" style="17" customWidth="1"/>
    <col min="15" max="16384" width="9.140625" style="17" hidden="1"/>
  </cols>
  <sheetData>
    <row r="1" spans="1:14" ht="15.75" thickBot="1">
      <c r="A1" s="763"/>
      <c r="B1" s="763"/>
      <c r="C1" s="763"/>
      <c r="D1" s="763"/>
      <c r="E1" s="763"/>
      <c r="F1" s="763"/>
      <c r="G1" s="763"/>
      <c r="H1" s="763"/>
      <c r="I1" s="763"/>
      <c r="J1" s="763"/>
      <c r="K1" s="763"/>
      <c r="L1" s="763"/>
      <c r="M1" s="763"/>
      <c r="N1" s="763"/>
    </row>
    <row r="2" spans="1:14" ht="48.75" customHeight="1" thickBot="1">
      <c r="A2" s="763"/>
      <c r="B2" s="772" t="s">
        <v>156</v>
      </c>
      <c r="C2" s="773"/>
      <c r="D2" s="773"/>
      <c r="E2" s="773"/>
      <c r="F2" s="773"/>
      <c r="G2" s="773"/>
      <c r="H2" s="773"/>
      <c r="I2" s="773"/>
      <c r="J2" s="773"/>
      <c r="K2" s="773"/>
      <c r="L2" s="773"/>
      <c r="M2" s="774"/>
      <c r="N2" s="763"/>
    </row>
    <row r="3" spans="1:14">
      <c r="A3" s="763"/>
      <c r="B3" s="764" t="s">
        <v>419</v>
      </c>
      <c r="C3" s="766" t="s">
        <v>21</v>
      </c>
      <c r="D3" s="767"/>
      <c r="E3" s="768" t="s">
        <v>22</v>
      </c>
      <c r="F3" s="769"/>
      <c r="G3" s="766" t="s">
        <v>146</v>
      </c>
      <c r="H3" s="767"/>
      <c r="I3" s="768" t="s">
        <v>415</v>
      </c>
      <c r="J3" s="769"/>
      <c r="K3" s="766" t="s">
        <v>23</v>
      </c>
      <c r="L3" s="767"/>
      <c r="M3" s="770" t="s">
        <v>414</v>
      </c>
      <c r="N3" s="763"/>
    </row>
    <row r="4" spans="1:14">
      <c r="A4" s="763"/>
      <c r="B4" s="765"/>
      <c r="C4" s="276" t="s">
        <v>416</v>
      </c>
      <c r="D4" s="277" t="s">
        <v>417</v>
      </c>
      <c r="E4" s="275" t="s">
        <v>416</v>
      </c>
      <c r="F4" s="274" t="s">
        <v>417</v>
      </c>
      <c r="G4" s="276" t="s">
        <v>416</v>
      </c>
      <c r="H4" s="277" t="s">
        <v>417</v>
      </c>
      <c r="I4" s="275" t="s">
        <v>416</v>
      </c>
      <c r="J4" s="274" t="s">
        <v>417</v>
      </c>
      <c r="K4" s="276" t="s">
        <v>416</v>
      </c>
      <c r="L4" s="277" t="s">
        <v>417</v>
      </c>
      <c r="M4" s="771"/>
      <c r="N4" s="763"/>
    </row>
    <row r="5" spans="1:14" ht="18">
      <c r="A5" s="763"/>
      <c r="B5" s="325" t="s">
        <v>420</v>
      </c>
      <c r="C5" s="288">
        <v>3</v>
      </c>
      <c r="D5" s="278">
        <v>2</v>
      </c>
      <c r="E5" s="279">
        <v>4</v>
      </c>
      <c r="F5" s="290">
        <v>5</v>
      </c>
      <c r="G5" s="288">
        <v>10</v>
      </c>
      <c r="H5" s="291">
        <v>20</v>
      </c>
      <c r="I5" s="292">
        <v>4</v>
      </c>
      <c r="J5" s="290">
        <v>5</v>
      </c>
      <c r="K5" s="282">
        <f>C5+E5+G5+I5</f>
        <v>21</v>
      </c>
      <c r="L5" s="283">
        <f>D5+F5+H5+J5</f>
        <v>32</v>
      </c>
      <c r="M5" s="284">
        <f>K5+L5</f>
        <v>53</v>
      </c>
      <c r="N5" s="763"/>
    </row>
    <row r="6" spans="1:14" ht="18">
      <c r="A6" s="763"/>
      <c r="B6" s="325" t="s">
        <v>421</v>
      </c>
      <c r="C6" s="288">
        <v>4</v>
      </c>
      <c r="D6" s="278">
        <v>3</v>
      </c>
      <c r="E6" s="279">
        <v>5</v>
      </c>
      <c r="F6" s="290">
        <v>6</v>
      </c>
      <c r="G6" s="288">
        <v>11</v>
      </c>
      <c r="H6" s="291">
        <v>21</v>
      </c>
      <c r="I6" s="292">
        <v>5</v>
      </c>
      <c r="J6" s="290">
        <v>6</v>
      </c>
      <c r="K6" s="282">
        <f t="shared" ref="K6:K13" si="0">C6+E6+G6+I6</f>
        <v>25</v>
      </c>
      <c r="L6" s="283">
        <f t="shared" ref="L6:L13" si="1">D6+F6+H6+J6</f>
        <v>36</v>
      </c>
      <c r="M6" s="284">
        <f t="shared" ref="M6:M13" si="2">K6+L6</f>
        <v>61</v>
      </c>
      <c r="N6" s="763"/>
    </row>
    <row r="7" spans="1:14" ht="18">
      <c r="A7" s="763"/>
      <c r="B7" s="325" t="s">
        <v>422</v>
      </c>
      <c r="C7" s="288">
        <v>5</v>
      </c>
      <c r="D7" s="278">
        <v>4</v>
      </c>
      <c r="E7" s="279">
        <v>6</v>
      </c>
      <c r="F7" s="290">
        <v>7</v>
      </c>
      <c r="G7" s="288">
        <v>12</v>
      </c>
      <c r="H7" s="291">
        <v>22</v>
      </c>
      <c r="I7" s="292">
        <v>6</v>
      </c>
      <c r="J7" s="290">
        <v>7</v>
      </c>
      <c r="K7" s="282">
        <f t="shared" si="0"/>
        <v>29</v>
      </c>
      <c r="L7" s="283">
        <f t="shared" si="1"/>
        <v>40</v>
      </c>
      <c r="M7" s="284">
        <f t="shared" si="2"/>
        <v>69</v>
      </c>
      <c r="N7" s="763"/>
    </row>
    <row r="8" spans="1:14" ht="18">
      <c r="A8" s="763"/>
      <c r="B8" s="325" t="s">
        <v>423</v>
      </c>
      <c r="C8" s="288">
        <v>6</v>
      </c>
      <c r="D8" s="278">
        <v>5</v>
      </c>
      <c r="E8" s="279">
        <v>7</v>
      </c>
      <c r="F8" s="290">
        <v>8</v>
      </c>
      <c r="G8" s="288">
        <v>13</v>
      </c>
      <c r="H8" s="291">
        <v>23</v>
      </c>
      <c r="I8" s="292">
        <v>7</v>
      </c>
      <c r="J8" s="290">
        <v>8</v>
      </c>
      <c r="K8" s="282">
        <f t="shared" si="0"/>
        <v>33</v>
      </c>
      <c r="L8" s="283">
        <f t="shared" si="1"/>
        <v>44</v>
      </c>
      <c r="M8" s="284">
        <f t="shared" si="2"/>
        <v>77</v>
      </c>
      <c r="N8" s="763"/>
    </row>
    <row r="9" spans="1:14" ht="18.75" thickBot="1">
      <c r="A9" s="763"/>
      <c r="B9" s="326" t="s">
        <v>424</v>
      </c>
      <c r="C9" s="289">
        <v>7</v>
      </c>
      <c r="D9" s="280">
        <v>6</v>
      </c>
      <c r="E9" s="281">
        <v>8</v>
      </c>
      <c r="F9" s="293">
        <v>9</v>
      </c>
      <c r="G9" s="289">
        <v>14</v>
      </c>
      <c r="H9" s="294">
        <v>24</v>
      </c>
      <c r="I9" s="295">
        <v>8</v>
      </c>
      <c r="J9" s="293">
        <v>9</v>
      </c>
      <c r="K9" s="285">
        <f t="shared" si="0"/>
        <v>37</v>
      </c>
      <c r="L9" s="286">
        <f t="shared" si="1"/>
        <v>48</v>
      </c>
      <c r="M9" s="287">
        <f t="shared" si="2"/>
        <v>85</v>
      </c>
      <c r="N9" s="763"/>
    </row>
    <row r="10" spans="1:14" ht="25.5" customHeight="1" thickBot="1">
      <c r="A10" s="763"/>
      <c r="B10" s="305" t="s">
        <v>428</v>
      </c>
      <c r="C10" s="321">
        <f>SUM(C5:C9)</f>
        <v>25</v>
      </c>
      <c r="D10" s="322">
        <f t="shared" ref="D10:M10" si="3">SUM(D5:D9)</f>
        <v>20</v>
      </c>
      <c r="E10" s="323">
        <f t="shared" si="3"/>
        <v>30</v>
      </c>
      <c r="F10" s="324">
        <f t="shared" si="3"/>
        <v>35</v>
      </c>
      <c r="G10" s="321">
        <f t="shared" si="3"/>
        <v>60</v>
      </c>
      <c r="H10" s="322">
        <f t="shared" si="3"/>
        <v>110</v>
      </c>
      <c r="I10" s="323">
        <f t="shared" si="3"/>
        <v>30</v>
      </c>
      <c r="J10" s="324">
        <f t="shared" si="3"/>
        <v>35</v>
      </c>
      <c r="K10" s="306">
        <f t="shared" si="3"/>
        <v>145</v>
      </c>
      <c r="L10" s="307">
        <f t="shared" si="3"/>
        <v>200</v>
      </c>
      <c r="M10" s="308">
        <f t="shared" si="3"/>
        <v>345</v>
      </c>
      <c r="N10" s="763"/>
    </row>
    <row r="11" spans="1:14" ht="18">
      <c r="A11" s="763"/>
      <c r="B11" s="327" t="s">
        <v>425</v>
      </c>
      <c r="C11" s="296">
        <v>8</v>
      </c>
      <c r="D11" s="297">
        <v>7</v>
      </c>
      <c r="E11" s="298">
        <v>9</v>
      </c>
      <c r="F11" s="299">
        <v>10</v>
      </c>
      <c r="G11" s="296">
        <v>15</v>
      </c>
      <c r="H11" s="300">
        <v>25</v>
      </c>
      <c r="I11" s="301">
        <v>9</v>
      </c>
      <c r="J11" s="299">
        <v>10</v>
      </c>
      <c r="K11" s="302">
        <f t="shared" si="0"/>
        <v>41</v>
      </c>
      <c r="L11" s="303">
        <f t="shared" si="1"/>
        <v>52</v>
      </c>
      <c r="M11" s="304">
        <f t="shared" si="2"/>
        <v>93</v>
      </c>
      <c r="N11" s="763"/>
    </row>
    <row r="12" spans="1:14" ht="18">
      <c r="A12" s="763"/>
      <c r="B12" s="325" t="s">
        <v>426</v>
      </c>
      <c r="C12" s="288">
        <v>9</v>
      </c>
      <c r="D12" s="278">
        <v>8</v>
      </c>
      <c r="E12" s="279">
        <v>10</v>
      </c>
      <c r="F12" s="290">
        <v>11</v>
      </c>
      <c r="G12" s="288">
        <v>16</v>
      </c>
      <c r="H12" s="291">
        <v>26</v>
      </c>
      <c r="I12" s="292">
        <v>10</v>
      </c>
      <c r="J12" s="290">
        <v>11</v>
      </c>
      <c r="K12" s="282">
        <f t="shared" si="0"/>
        <v>45</v>
      </c>
      <c r="L12" s="283">
        <f t="shared" si="1"/>
        <v>56</v>
      </c>
      <c r="M12" s="284">
        <f t="shared" si="2"/>
        <v>101</v>
      </c>
      <c r="N12" s="763"/>
    </row>
    <row r="13" spans="1:14" ht="18.75" thickBot="1">
      <c r="A13" s="763"/>
      <c r="B13" s="326" t="s">
        <v>427</v>
      </c>
      <c r="C13" s="289">
        <v>10</v>
      </c>
      <c r="D13" s="280">
        <v>9</v>
      </c>
      <c r="E13" s="281">
        <v>11</v>
      </c>
      <c r="F13" s="293">
        <v>12</v>
      </c>
      <c r="G13" s="289">
        <v>17</v>
      </c>
      <c r="H13" s="294">
        <v>27</v>
      </c>
      <c r="I13" s="295">
        <v>11</v>
      </c>
      <c r="J13" s="293">
        <v>12</v>
      </c>
      <c r="K13" s="285">
        <f t="shared" si="0"/>
        <v>49</v>
      </c>
      <c r="L13" s="286">
        <f t="shared" si="1"/>
        <v>60</v>
      </c>
      <c r="M13" s="287">
        <f t="shared" si="2"/>
        <v>109</v>
      </c>
      <c r="N13" s="763"/>
    </row>
    <row r="14" spans="1:14" ht="25.5" customHeight="1" thickBot="1">
      <c r="A14" s="763"/>
      <c r="B14" s="305" t="s">
        <v>429</v>
      </c>
      <c r="C14" s="321">
        <f>SUM(C11:C13)</f>
        <v>27</v>
      </c>
      <c r="D14" s="322">
        <f t="shared" ref="D14:M14" si="4">SUM(D11:D13)</f>
        <v>24</v>
      </c>
      <c r="E14" s="323">
        <f t="shared" si="4"/>
        <v>30</v>
      </c>
      <c r="F14" s="324">
        <f t="shared" si="4"/>
        <v>33</v>
      </c>
      <c r="G14" s="321">
        <f t="shared" si="4"/>
        <v>48</v>
      </c>
      <c r="H14" s="322">
        <f t="shared" si="4"/>
        <v>78</v>
      </c>
      <c r="I14" s="323">
        <f t="shared" si="4"/>
        <v>30</v>
      </c>
      <c r="J14" s="324">
        <f t="shared" si="4"/>
        <v>33</v>
      </c>
      <c r="K14" s="306">
        <f t="shared" si="4"/>
        <v>135</v>
      </c>
      <c r="L14" s="307">
        <f t="shared" si="4"/>
        <v>168</v>
      </c>
      <c r="M14" s="308">
        <f t="shared" si="4"/>
        <v>303</v>
      </c>
      <c r="N14" s="763"/>
    </row>
    <row r="15" spans="1:14" ht="30.75" customHeight="1" thickBot="1">
      <c r="A15" s="763"/>
      <c r="B15" s="309" t="s">
        <v>56</v>
      </c>
      <c r="C15" s="310">
        <f>SUM(C14,C10)</f>
        <v>52</v>
      </c>
      <c r="D15" s="311">
        <f t="shared" ref="D15:M15" si="5">SUM(D14,D10)</f>
        <v>44</v>
      </c>
      <c r="E15" s="312">
        <f t="shared" si="5"/>
        <v>60</v>
      </c>
      <c r="F15" s="313">
        <f t="shared" si="5"/>
        <v>68</v>
      </c>
      <c r="G15" s="314">
        <f t="shared" si="5"/>
        <v>108</v>
      </c>
      <c r="H15" s="315">
        <f t="shared" si="5"/>
        <v>188</v>
      </c>
      <c r="I15" s="316">
        <f t="shared" si="5"/>
        <v>60</v>
      </c>
      <c r="J15" s="317">
        <f t="shared" si="5"/>
        <v>68</v>
      </c>
      <c r="K15" s="318">
        <f t="shared" si="5"/>
        <v>280</v>
      </c>
      <c r="L15" s="319">
        <f t="shared" si="5"/>
        <v>368</v>
      </c>
      <c r="M15" s="320">
        <f t="shared" si="5"/>
        <v>648</v>
      </c>
      <c r="N15" s="763"/>
    </row>
    <row r="16" spans="1:14">
      <c r="A16" s="763"/>
      <c r="B16" s="775"/>
      <c r="C16" s="776"/>
      <c r="D16" s="776"/>
      <c r="E16" s="775"/>
      <c r="F16" s="775"/>
      <c r="G16" s="775"/>
      <c r="H16" s="775"/>
      <c r="I16" s="775"/>
      <c r="J16" s="775"/>
      <c r="K16" s="775"/>
      <c r="L16" s="775"/>
      <c r="M16" s="775"/>
      <c r="N16" s="763"/>
    </row>
  </sheetData>
  <sheetProtection password="E8FA" sheet="1" objects="1" scenarios="1" formatCells="0" formatColumns="0" formatRows="0" selectLockedCells="1"/>
  <mergeCells count="12">
    <mergeCell ref="A1:N1"/>
    <mergeCell ref="B3:B4"/>
    <mergeCell ref="C3:D3"/>
    <mergeCell ref="E3:F3"/>
    <mergeCell ref="G3:H3"/>
    <mergeCell ref="I3:J3"/>
    <mergeCell ref="K3:L3"/>
    <mergeCell ref="M3:M4"/>
    <mergeCell ref="B2:M2"/>
    <mergeCell ref="N2:N16"/>
    <mergeCell ref="A2:A16"/>
    <mergeCell ref="B16:M16"/>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1">
    <tabColor rgb="FFFF0000"/>
  </sheetPr>
  <dimension ref="A1:AZ344"/>
  <sheetViews>
    <sheetView showGridLines="0" zoomScale="85" zoomScaleNormal="85" workbookViewId="0">
      <selection activeCell="J12" sqref="J12"/>
    </sheetView>
  </sheetViews>
  <sheetFormatPr defaultColWidth="0" defaultRowHeight="15.75" zeroHeight="1"/>
  <cols>
    <col min="1" max="1" width="1.28515625" style="5" customWidth="1"/>
    <col min="2" max="2" width="9.7109375" style="5" customWidth="1"/>
    <col min="3" max="3" width="10.42578125" style="5" customWidth="1"/>
    <col min="4" max="4" width="11.5703125" style="5" customWidth="1"/>
    <col min="5" max="5" width="12.85546875" style="5" customWidth="1"/>
    <col min="6" max="6" width="9.5703125" style="5" customWidth="1"/>
    <col min="7" max="7" width="9.85546875" style="5" customWidth="1"/>
    <col min="8" max="8" width="9.5703125" style="5" customWidth="1"/>
    <col min="9" max="9" width="8.85546875" style="5" hidden="1" customWidth="1"/>
    <col min="10" max="10" width="12" style="5" customWidth="1"/>
    <col min="11" max="11" width="4.42578125" style="5" customWidth="1"/>
    <col min="12" max="14" width="10.85546875" style="5" customWidth="1"/>
    <col min="15" max="15" width="9.28515625" style="5" hidden="1" customWidth="1"/>
    <col min="16" max="16" width="8.85546875" style="5" hidden="1" customWidth="1"/>
    <col min="17" max="17" width="9.28515625" style="5" hidden="1" customWidth="1"/>
    <col min="18" max="19" width="6.140625" style="5" customWidth="1"/>
    <col min="20" max="20" width="6.85546875" style="5" customWidth="1"/>
    <col min="21" max="22" width="6.140625" style="5" customWidth="1"/>
    <col min="23" max="23" width="7.5703125" style="5" customWidth="1"/>
    <col min="24" max="29" width="6.140625" style="5" customWidth="1"/>
    <col min="30" max="37" width="11.5703125" style="74" customWidth="1"/>
    <col min="38" max="38" width="7.7109375" style="5" customWidth="1"/>
    <col min="39" max="40" width="11.140625" style="5" customWidth="1"/>
    <col min="41" max="41" width="13.42578125" style="5" customWidth="1"/>
    <col min="42" max="42" width="1.42578125" style="5" customWidth="1"/>
    <col min="43" max="43" width="13.42578125" style="5" hidden="1" customWidth="1"/>
    <col min="44" max="47" width="17.5703125" style="5" hidden="1" customWidth="1"/>
    <col min="48" max="16384" width="13.42578125" style="5" hidden="1"/>
  </cols>
  <sheetData>
    <row r="1" spans="1:52" ht="6" customHeight="1" thickBot="1">
      <c r="A1" s="673"/>
      <c r="B1" s="673"/>
      <c r="C1" s="673"/>
      <c r="D1" s="673"/>
      <c r="E1" s="673"/>
      <c r="F1" s="673"/>
      <c r="G1" s="673"/>
      <c r="H1" s="673"/>
      <c r="I1" s="673"/>
      <c r="J1" s="673"/>
      <c r="K1" s="673"/>
      <c r="L1" s="673"/>
      <c r="M1" s="673"/>
      <c r="N1" s="673"/>
      <c r="O1" s="673"/>
      <c r="P1" s="673"/>
      <c r="Q1" s="673"/>
      <c r="R1" s="673"/>
      <c r="S1" s="673"/>
      <c r="T1" s="673"/>
      <c r="U1" s="673"/>
      <c r="V1" s="673"/>
      <c r="W1" s="673"/>
      <c r="X1" s="673"/>
      <c r="Y1" s="673"/>
      <c r="Z1" s="673"/>
      <c r="AA1" s="673"/>
      <c r="AB1" s="673"/>
      <c r="AC1" s="673"/>
      <c r="AD1" s="673"/>
      <c r="AE1" s="673"/>
      <c r="AF1" s="673"/>
      <c r="AG1" s="673"/>
      <c r="AH1" s="673"/>
      <c r="AI1" s="673"/>
      <c r="AJ1" s="673"/>
      <c r="AK1" s="673"/>
      <c r="AL1" s="673"/>
      <c r="AM1" s="673"/>
      <c r="AN1" s="673"/>
      <c r="AO1" s="673"/>
      <c r="AP1" s="673"/>
    </row>
    <row r="2" spans="1:52" ht="38.25" customHeight="1" thickBot="1">
      <c r="A2" s="673"/>
      <c r="B2" s="780" t="str">
        <f>CONCATENATE('School Info'!B4," ",'School Info'!D4)</f>
        <v>Office: Govt. Sr. Sec. School Raimalwada, Bapini (Phalodi)</v>
      </c>
      <c r="C2" s="781"/>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c r="AH2" s="781"/>
      <c r="AI2" s="781"/>
      <c r="AJ2" s="781"/>
      <c r="AK2" s="781"/>
      <c r="AL2" s="781"/>
      <c r="AM2" s="781"/>
      <c r="AN2" s="781"/>
      <c r="AO2" s="782"/>
      <c r="AP2" s="808"/>
    </row>
    <row r="3" spans="1:52" ht="31.5" customHeight="1" thickBot="1">
      <c r="A3" s="673"/>
      <c r="B3" s="789" t="s">
        <v>273</v>
      </c>
      <c r="C3" s="790"/>
      <c r="D3" s="790"/>
      <c r="E3" s="790"/>
      <c r="F3" s="790"/>
      <c r="G3" s="790"/>
      <c r="H3" s="790"/>
      <c r="I3" s="790"/>
      <c r="J3" s="810"/>
      <c r="K3" s="789" t="s">
        <v>281</v>
      </c>
      <c r="L3" s="790"/>
      <c r="M3" s="790"/>
      <c r="N3" s="790"/>
      <c r="O3" s="790"/>
      <c r="P3" s="790"/>
      <c r="Q3" s="790"/>
      <c r="R3" s="790"/>
      <c r="S3" s="790"/>
      <c r="T3" s="790"/>
      <c r="U3" s="790"/>
      <c r="V3" s="790"/>
      <c r="W3" s="790"/>
      <c r="X3" s="790"/>
      <c r="Y3" s="790"/>
      <c r="Z3" s="790"/>
      <c r="AA3" s="790"/>
      <c r="AB3" s="790"/>
      <c r="AC3" s="790"/>
      <c r="AD3" s="858"/>
      <c r="AE3" s="858"/>
      <c r="AF3" s="858"/>
      <c r="AG3" s="858"/>
      <c r="AH3" s="858"/>
      <c r="AI3" s="858"/>
      <c r="AJ3" s="858"/>
      <c r="AK3" s="858"/>
      <c r="AL3" s="858"/>
      <c r="AM3" s="856" t="str">
        <f>CONCATENATE('School Info'!I6,-'School Info'!K6)</f>
        <v>November-2025</v>
      </c>
      <c r="AN3" s="856"/>
      <c r="AO3" s="857"/>
      <c r="AP3" s="808"/>
      <c r="AQ3" s="110" t="s">
        <v>103</v>
      </c>
      <c r="AV3" s="110"/>
    </row>
    <row r="4" spans="1:52" s="23" customFormat="1" ht="25.5" customHeight="1">
      <c r="A4" s="673"/>
      <c r="B4" s="803" t="s">
        <v>207</v>
      </c>
      <c r="C4" s="800" t="s">
        <v>274</v>
      </c>
      <c r="D4" s="225">
        <v>45748</v>
      </c>
      <c r="E4" s="227">
        <f>D4</f>
        <v>45748</v>
      </c>
      <c r="F4" s="811" t="s">
        <v>285</v>
      </c>
      <c r="G4" s="811" t="s">
        <v>277</v>
      </c>
      <c r="H4" s="811" t="s">
        <v>278</v>
      </c>
      <c r="I4" s="10" t="s">
        <v>117</v>
      </c>
      <c r="J4" s="226">
        <f>E4</f>
        <v>45748</v>
      </c>
      <c r="K4" s="880" t="s">
        <v>122</v>
      </c>
      <c r="L4" s="883" t="s">
        <v>123</v>
      </c>
      <c r="M4" s="886" t="s">
        <v>51</v>
      </c>
      <c r="N4" s="889" t="s">
        <v>282</v>
      </c>
      <c r="O4" s="890" t="s">
        <v>104</v>
      </c>
      <c r="P4" s="890" t="s">
        <v>283</v>
      </c>
      <c r="Q4" s="893" t="s">
        <v>49</v>
      </c>
      <c r="R4" s="859" t="s">
        <v>147</v>
      </c>
      <c r="S4" s="860"/>
      <c r="T4" s="860"/>
      <c r="U4" s="860"/>
      <c r="V4" s="860"/>
      <c r="W4" s="861"/>
      <c r="X4" s="853" t="s">
        <v>284</v>
      </c>
      <c r="Y4" s="854"/>
      <c r="Z4" s="854"/>
      <c r="AA4" s="854"/>
      <c r="AB4" s="854"/>
      <c r="AC4" s="855"/>
      <c r="AD4" s="822" t="s">
        <v>286</v>
      </c>
      <c r="AE4" s="823"/>
      <c r="AF4" s="822" t="s">
        <v>287</v>
      </c>
      <c r="AG4" s="823"/>
      <c r="AH4" s="822" t="s">
        <v>288</v>
      </c>
      <c r="AI4" s="823"/>
      <c r="AJ4" s="822" t="s">
        <v>289</v>
      </c>
      <c r="AK4" s="823"/>
      <c r="AL4" s="877" t="s">
        <v>290</v>
      </c>
      <c r="AM4" s="877"/>
      <c r="AN4" s="877"/>
      <c r="AO4" s="823"/>
      <c r="AP4" s="808"/>
      <c r="AQ4" s="110" t="s">
        <v>73</v>
      </c>
      <c r="AR4" s="809" t="s">
        <v>118</v>
      </c>
      <c r="AS4" s="809"/>
      <c r="AT4" s="809" t="s">
        <v>119</v>
      </c>
      <c r="AU4" s="809"/>
      <c r="AV4" s="110"/>
      <c r="AW4" s="809" t="s">
        <v>118</v>
      </c>
      <c r="AX4" s="809"/>
      <c r="AY4" s="809" t="s">
        <v>119</v>
      </c>
      <c r="AZ4" s="809"/>
    </row>
    <row r="5" spans="1:52" s="23" customFormat="1" ht="18" customHeight="1" thickBot="1">
      <c r="A5" s="673"/>
      <c r="B5" s="804"/>
      <c r="C5" s="801"/>
      <c r="D5" s="812" t="s">
        <v>275</v>
      </c>
      <c r="E5" s="783" t="s">
        <v>276</v>
      </c>
      <c r="F5" s="783"/>
      <c r="G5" s="783"/>
      <c r="H5" s="783"/>
      <c r="I5" s="11"/>
      <c r="J5" s="814" t="s">
        <v>279</v>
      </c>
      <c r="K5" s="881"/>
      <c r="L5" s="884"/>
      <c r="M5" s="887"/>
      <c r="N5" s="831"/>
      <c r="O5" s="891"/>
      <c r="P5" s="891"/>
      <c r="Q5" s="894"/>
      <c r="R5" s="896" t="s">
        <v>55</v>
      </c>
      <c r="S5" s="897"/>
      <c r="T5" s="897"/>
      <c r="U5" s="898" t="s">
        <v>25</v>
      </c>
      <c r="V5" s="899"/>
      <c r="W5" s="900"/>
      <c r="X5" s="837" t="s">
        <v>128</v>
      </c>
      <c r="Y5" s="838"/>
      <c r="Z5" s="838"/>
      <c r="AA5" s="839" t="s">
        <v>129</v>
      </c>
      <c r="AB5" s="840"/>
      <c r="AC5" s="841"/>
      <c r="AD5" s="824"/>
      <c r="AE5" s="825"/>
      <c r="AF5" s="824"/>
      <c r="AG5" s="825"/>
      <c r="AH5" s="824"/>
      <c r="AI5" s="825"/>
      <c r="AJ5" s="824"/>
      <c r="AK5" s="825"/>
      <c r="AL5" s="878"/>
      <c r="AM5" s="878"/>
      <c r="AN5" s="878"/>
      <c r="AO5" s="879"/>
      <c r="AP5" s="808"/>
      <c r="AQ5" s="110" t="s">
        <v>74</v>
      </c>
      <c r="AR5" s="23" t="s">
        <v>115</v>
      </c>
      <c r="AS5" s="23" t="s">
        <v>116</v>
      </c>
      <c r="AT5" s="23" t="s">
        <v>115</v>
      </c>
      <c r="AU5" s="23" t="s">
        <v>116</v>
      </c>
      <c r="AV5" s="110"/>
      <c r="AW5" s="23" t="s">
        <v>115</v>
      </c>
      <c r="AX5" s="23" t="s">
        <v>116</v>
      </c>
      <c r="AY5" s="23" t="s">
        <v>115</v>
      </c>
      <c r="AZ5" s="23" t="s">
        <v>116</v>
      </c>
    </row>
    <row r="6" spans="1:52" s="23" customFormat="1" ht="21" customHeight="1" thickBot="1">
      <c r="A6" s="673"/>
      <c r="B6" s="804"/>
      <c r="C6" s="801"/>
      <c r="D6" s="812"/>
      <c r="E6" s="783"/>
      <c r="F6" s="783"/>
      <c r="G6" s="783"/>
      <c r="H6" s="783"/>
      <c r="I6" s="11"/>
      <c r="J6" s="814"/>
      <c r="K6" s="882"/>
      <c r="L6" s="885"/>
      <c r="M6" s="888"/>
      <c r="N6" s="865"/>
      <c r="O6" s="892"/>
      <c r="P6" s="892"/>
      <c r="Q6" s="895"/>
      <c r="R6" s="83" t="s">
        <v>148</v>
      </c>
      <c r="S6" s="72" t="s">
        <v>149</v>
      </c>
      <c r="T6" s="72" t="s">
        <v>19</v>
      </c>
      <c r="U6" s="72" t="s">
        <v>148</v>
      </c>
      <c r="V6" s="72" t="s">
        <v>149</v>
      </c>
      <c r="W6" s="73" t="s">
        <v>19</v>
      </c>
      <c r="X6" s="176" t="s">
        <v>159</v>
      </c>
      <c r="Y6" s="177" t="s">
        <v>160</v>
      </c>
      <c r="Z6" s="177" t="s">
        <v>130</v>
      </c>
      <c r="AA6" s="176" t="s">
        <v>159</v>
      </c>
      <c r="AB6" s="177" t="s">
        <v>160</v>
      </c>
      <c r="AC6" s="177" t="s">
        <v>130</v>
      </c>
      <c r="AD6" s="179" t="s">
        <v>254</v>
      </c>
      <c r="AE6" s="180" t="s">
        <v>255</v>
      </c>
      <c r="AF6" s="179" t="s">
        <v>254</v>
      </c>
      <c r="AG6" s="180" t="s">
        <v>255</v>
      </c>
      <c r="AH6" s="179" t="s">
        <v>254</v>
      </c>
      <c r="AI6" s="180" t="s">
        <v>255</v>
      </c>
      <c r="AJ6" s="179" t="s">
        <v>254</v>
      </c>
      <c r="AK6" s="180" t="s">
        <v>255</v>
      </c>
      <c r="AL6" s="181" t="s">
        <v>207</v>
      </c>
      <c r="AM6" s="90" t="s">
        <v>115</v>
      </c>
      <c r="AN6" s="90" t="s">
        <v>116</v>
      </c>
      <c r="AO6" s="91" t="s">
        <v>56</v>
      </c>
      <c r="AP6" s="808"/>
      <c r="AQ6" s="110"/>
      <c r="AV6" s="110"/>
    </row>
    <row r="7" spans="1:52" s="23" customFormat="1" ht="23.25" customHeight="1">
      <c r="A7" s="673"/>
      <c r="B7" s="804"/>
      <c r="C7" s="801"/>
      <c r="D7" s="812"/>
      <c r="E7" s="783"/>
      <c r="F7" s="783"/>
      <c r="G7" s="783"/>
      <c r="H7" s="783"/>
      <c r="I7" s="11"/>
      <c r="J7" s="814"/>
      <c r="K7" s="29">
        <f>IF('School Info'!$W$7&gt;0,1,"--")</f>
        <v>1</v>
      </c>
      <c r="L7" s="7">
        <f>'School Info'!T6</f>
        <v>45962</v>
      </c>
      <c r="M7" s="6" t="str">
        <f>TEXT(L7,"dddd")</f>
        <v>Saturday</v>
      </c>
      <c r="N7" s="64" t="str">
        <f t="shared" ref="N7:N37" si="0">IF(M7="Sunday","रवि॰अव॰",IF(M7="---","---","खुला"))</f>
        <v>खुला</v>
      </c>
      <c r="O7" s="63" t="str">
        <f t="shared" ref="O7:O37" si="1">IF(N7="खुला",M7,IF(N7="---","---","Holiday"))</f>
        <v>Saturday</v>
      </c>
      <c r="P7" s="71" t="str">
        <f>VLOOKUP($O7,$B$20:$J$28,4,0)</f>
        <v>रोटी -दाल, सब्जी</v>
      </c>
      <c r="Q7" s="134" t="str">
        <f>IF(P7="रोटी -दाल, सब्जी","W",IF(P7="चावल एवं दाल/सब्जी","R",IF(P7="खिचडी  (दाल,चावल,सब्जी आदि युक्त)","R","---")))</f>
        <v>W</v>
      </c>
      <c r="R7" s="135">
        <f>'School Info'!$N$17</f>
        <v>145</v>
      </c>
      <c r="S7" s="136">
        <f>'School Info'!$O$17</f>
        <v>200</v>
      </c>
      <c r="T7" s="136">
        <f>SUM(R7:S7)</f>
        <v>345</v>
      </c>
      <c r="U7" s="136">
        <f>'School Info'!$N$22</f>
        <v>135</v>
      </c>
      <c r="V7" s="136">
        <f>'School Info'!$O$22</f>
        <v>168</v>
      </c>
      <c r="W7" s="137">
        <f>SUM(U7:V7)</f>
        <v>303</v>
      </c>
      <c r="X7" s="147">
        <v>30</v>
      </c>
      <c r="Y7" s="148">
        <v>30</v>
      </c>
      <c r="Z7" s="138">
        <f>SUM(X7:Y7)</f>
        <v>60</v>
      </c>
      <c r="AA7" s="148">
        <v>5</v>
      </c>
      <c r="AB7" s="148">
        <v>7</v>
      </c>
      <c r="AC7" s="139">
        <f>SUM(AA7:AB7)</f>
        <v>12</v>
      </c>
      <c r="AD7" s="508">
        <v>0</v>
      </c>
      <c r="AE7" s="509">
        <v>0</v>
      </c>
      <c r="AF7" s="508"/>
      <c r="AG7" s="509"/>
      <c r="AH7" s="508">
        <v>0</v>
      </c>
      <c r="AI7" s="509">
        <v>0</v>
      </c>
      <c r="AJ7" s="508"/>
      <c r="AK7" s="509"/>
      <c r="AL7" s="831" t="s">
        <v>15</v>
      </c>
      <c r="AM7" s="833">
        <f>AR38</f>
        <v>536</v>
      </c>
      <c r="AN7" s="833">
        <f>AS38</f>
        <v>200</v>
      </c>
      <c r="AO7" s="835">
        <f>AM7+AN7</f>
        <v>736</v>
      </c>
      <c r="AP7" s="808"/>
      <c r="AQ7" s="110" t="s">
        <v>75</v>
      </c>
      <c r="AR7" s="24">
        <f>IF($Q7="W",Z7,0)</f>
        <v>60</v>
      </c>
      <c r="AS7" s="24">
        <f>IF($Q7="R",Z7,0)</f>
        <v>0</v>
      </c>
      <c r="AT7" s="24">
        <f>IF($Q7="W",AC7,0)</f>
        <v>12</v>
      </c>
      <c r="AU7" s="24">
        <f>IF($Q7="R",AC7,0)</f>
        <v>0</v>
      </c>
      <c r="AV7" s="110"/>
      <c r="AW7" s="25">
        <f>AR7*'School Info'!$E$17/1000</f>
        <v>6</v>
      </c>
      <c r="AX7" s="25">
        <f>AS7*'School Info'!$E$17/1000</f>
        <v>0</v>
      </c>
      <c r="AY7" s="25">
        <f>AT7*'School Info'!$E$18/1000</f>
        <v>1.8</v>
      </c>
      <c r="AZ7" s="25">
        <f>AU7*'School Info'!$E$18/1000</f>
        <v>0</v>
      </c>
    </row>
    <row r="8" spans="1:52" s="23" customFormat="1" ht="23.25" customHeight="1">
      <c r="A8" s="673"/>
      <c r="B8" s="805"/>
      <c r="C8" s="802"/>
      <c r="D8" s="813"/>
      <c r="E8" s="784"/>
      <c r="F8" s="784"/>
      <c r="G8" s="784"/>
      <c r="H8" s="784"/>
      <c r="I8" s="11"/>
      <c r="J8" s="815"/>
      <c r="K8" s="30">
        <f>IF('School Info'!$W$7&gt;0,K7+1,"--")</f>
        <v>2</v>
      </c>
      <c r="L8" s="9">
        <f>L7+1</f>
        <v>45963</v>
      </c>
      <c r="M8" s="8" t="str">
        <f t="shared" ref="M8:M37" si="2">TEXT(L8,"dddd")</f>
        <v>Sunday</v>
      </c>
      <c r="N8" s="64" t="str">
        <f t="shared" si="0"/>
        <v>रवि॰अव॰</v>
      </c>
      <c r="O8" s="63" t="str">
        <f t="shared" si="1"/>
        <v>Holiday</v>
      </c>
      <c r="P8" s="71">
        <f t="shared" ref="P8:P37" si="3">VLOOKUP($O8,$B$20:$J$28,4,0)</f>
        <v>0</v>
      </c>
      <c r="Q8" s="134" t="str">
        <f t="shared" ref="Q8:Q37" si="4">IF(P8="रोटी -दाल, सब्जी","W",IF(P8="चावल एवं दाल/सब्जी","R",IF(P8="खिचडी  (दाल,चावल,सब्जी आदि युक्त)","R","---")))</f>
        <v>---</v>
      </c>
      <c r="R8" s="140">
        <f>IF('School Info'!$W$7&gt;=K8,R7,"---")</f>
        <v>145</v>
      </c>
      <c r="S8" s="141">
        <f>IF('School Info'!$W$7&gt;=K8,S7,"---")</f>
        <v>200</v>
      </c>
      <c r="T8" s="141">
        <f t="shared" ref="T8:T37" si="5">SUM(R8:S8)</f>
        <v>345</v>
      </c>
      <c r="U8" s="141">
        <f>IF('School Info'!$W$7&gt;=K8,U7,"---")</f>
        <v>135</v>
      </c>
      <c r="V8" s="141">
        <f>IF('School Info'!$W$7&gt;=K8,V7,"---")</f>
        <v>168</v>
      </c>
      <c r="W8" s="137">
        <f t="shared" ref="W8:W37" si="6">SUM(U8:V8)</f>
        <v>303</v>
      </c>
      <c r="X8" s="149">
        <v>0</v>
      </c>
      <c r="Y8" s="150">
        <v>0</v>
      </c>
      <c r="Z8" s="138">
        <f t="shared" ref="Z8:Z37" si="7">SUM(X8:Y8)</f>
        <v>0</v>
      </c>
      <c r="AA8" s="150">
        <v>0</v>
      </c>
      <c r="AB8" s="150">
        <v>0</v>
      </c>
      <c r="AC8" s="139">
        <f t="shared" ref="AC8:AC37" si="8">SUM(AA8:AB8)</f>
        <v>0</v>
      </c>
      <c r="AD8" s="510"/>
      <c r="AE8" s="511">
        <v>0</v>
      </c>
      <c r="AF8" s="510"/>
      <c r="AG8" s="511">
        <v>0</v>
      </c>
      <c r="AH8" s="510"/>
      <c r="AI8" s="511">
        <v>0</v>
      </c>
      <c r="AJ8" s="510"/>
      <c r="AK8" s="511">
        <v>0</v>
      </c>
      <c r="AL8" s="832"/>
      <c r="AM8" s="834"/>
      <c r="AN8" s="834"/>
      <c r="AO8" s="836"/>
      <c r="AP8" s="808"/>
      <c r="AQ8" s="110" t="s">
        <v>76</v>
      </c>
      <c r="AR8" s="24">
        <f t="shared" ref="AR8:AR37" si="9">IF($Q8="W",Z8,0)</f>
        <v>0</v>
      </c>
      <c r="AS8" s="24">
        <f t="shared" ref="AS8:AS37" si="10">IF($Q8="R",Z8,0)</f>
        <v>0</v>
      </c>
      <c r="AT8" s="24">
        <f t="shared" ref="AT8:AT37" si="11">IF($Q8="W",AC8,0)</f>
        <v>0</v>
      </c>
      <c r="AU8" s="24">
        <f t="shared" ref="AU8:AU37" si="12">IF($Q8="R",AC8,0)</f>
        <v>0</v>
      </c>
      <c r="AV8" s="110"/>
      <c r="AW8" s="25">
        <f>AR8*'School Info'!$E$17/1000</f>
        <v>0</v>
      </c>
      <c r="AX8" s="25">
        <f>AS8*'School Info'!$E$17/1000</f>
        <v>0</v>
      </c>
      <c r="AY8" s="25">
        <f>AT8*'School Info'!$E$18/1000</f>
        <v>0</v>
      </c>
      <c r="AZ8" s="25">
        <f>AU8*'School Info'!$E$18/1000</f>
        <v>0</v>
      </c>
    </row>
    <row r="9" spans="1:52" ht="23.25" customHeight="1" thickBot="1">
      <c r="A9" s="673"/>
      <c r="B9" s="15">
        <v>1</v>
      </c>
      <c r="C9" s="16">
        <v>2</v>
      </c>
      <c r="D9" s="16">
        <v>3</v>
      </c>
      <c r="E9" s="16">
        <v>4</v>
      </c>
      <c r="F9" s="16">
        <v>5</v>
      </c>
      <c r="G9" s="16">
        <v>6</v>
      </c>
      <c r="H9" s="16">
        <v>7</v>
      </c>
      <c r="I9" s="16">
        <v>7</v>
      </c>
      <c r="J9" s="27">
        <v>8</v>
      </c>
      <c r="K9" s="30">
        <f>IF('School Info'!$W$7&gt;0,K8+1,"--")</f>
        <v>3</v>
      </c>
      <c r="L9" s="9">
        <f t="shared" ref="L9:L33" si="13">L8+1</f>
        <v>45964</v>
      </c>
      <c r="M9" s="8" t="str">
        <f t="shared" si="2"/>
        <v>Monday</v>
      </c>
      <c r="N9" s="64" t="str">
        <f t="shared" si="0"/>
        <v>खुला</v>
      </c>
      <c r="O9" s="63" t="str">
        <f t="shared" si="1"/>
        <v>Monday</v>
      </c>
      <c r="P9" s="71" t="str">
        <f t="shared" si="3"/>
        <v>रोटी -दाल, सब्जी</v>
      </c>
      <c r="Q9" s="134" t="str">
        <f t="shared" si="4"/>
        <v>W</v>
      </c>
      <c r="R9" s="140">
        <f>IF('School Info'!$W$7&gt;=K9,R8,"---")</f>
        <v>145</v>
      </c>
      <c r="S9" s="141">
        <f>IF('School Info'!$W$7&gt;=K9,S8,"---")</f>
        <v>200</v>
      </c>
      <c r="T9" s="141">
        <f t="shared" si="5"/>
        <v>345</v>
      </c>
      <c r="U9" s="141">
        <f>IF('School Info'!$W$7&gt;=K9,U8,"---")</f>
        <v>135</v>
      </c>
      <c r="V9" s="141">
        <f>IF('School Info'!$W$7&gt;=K9,V8,"---")</f>
        <v>168</v>
      </c>
      <c r="W9" s="137">
        <f t="shared" si="6"/>
        <v>303</v>
      </c>
      <c r="X9" s="149">
        <v>52</v>
      </c>
      <c r="Y9" s="150">
        <v>49</v>
      </c>
      <c r="Z9" s="138">
        <f t="shared" si="7"/>
        <v>101</v>
      </c>
      <c r="AA9" s="150">
        <v>5</v>
      </c>
      <c r="AB9" s="150">
        <v>7</v>
      </c>
      <c r="AC9" s="139">
        <f t="shared" si="8"/>
        <v>12</v>
      </c>
      <c r="AD9" s="510"/>
      <c r="AE9" s="511">
        <v>0</v>
      </c>
      <c r="AF9" s="510"/>
      <c r="AG9" s="511">
        <v>0</v>
      </c>
      <c r="AH9" s="510"/>
      <c r="AI9" s="511">
        <v>0</v>
      </c>
      <c r="AJ9" s="510"/>
      <c r="AK9" s="511">
        <v>0</v>
      </c>
      <c r="AL9" s="864" t="s">
        <v>17</v>
      </c>
      <c r="AM9" s="866">
        <f>AT38</f>
        <v>204</v>
      </c>
      <c r="AN9" s="866">
        <f>AU38</f>
        <v>96</v>
      </c>
      <c r="AO9" s="829">
        <f>AM9+AN9</f>
        <v>300</v>
      </c>
      <c r="AP9" s="808"/>
      <c r="AQ9" s="110" t="s">
        <v>77</v>
      </c>
      <c r="AR9" s="24">
        <f t="shared" si="9"/>
        <v>101</v>
      </c>
      <c r="AS9" s="24">
        <f t="shared" si="10"/>
        <v>0</v>
      </c>
      <c r="AT9" s="24">
        <f t="shared" si="11"/>
        <v>12</v>
      </c>
      <c r="AU9" s="24">
        <f t="shared" si="12"/>
        <v>0</v>
      </c>
      <c r="AV9" s="110"/>
      <c r="AW9" s="25">
        <f>AR9*'School Info'!$E$17/1000</f>
        <v>10.1</v>
      </c>
      <c r="AX9" s="25">
        <f>AS9*'School Info'!$E$17/1000</f>
        <v>0</v>
      </c>
      <c r="AY9" s="25">
        <f>AT9*'School Info'!$E$18/1000</f>
        <v>1.8</v>
      </c>
      <c r="AZ9" s="25">
        <f>AU9*'School Info'!$E$18/1000</f>
        <v>0</v>
      </c>
    </row>
    <row r="10" spans="1:52" ht="23.25" customHeight="1" thickBot="1">
      <c r="A10" s="673"/>
      <c r="B10" s="170" t="s">
        <v>254</v>
      </c>
      <c r="C10" s="173" t="s">
        <v>141</v>
      </c>
      <c r="D10" s="499">
        <v>500</v>
      </c>
      <c r="E10" s="499">
        <v>0</v>
      </c>
      <c r="F10" s="500">
        <f>AD38</f>
        <v>0</v>
      </c>
      <c r="G10" s="500">
        <f>AH38</f>
        <v>0</v>
      </c>
      <c r="H10" s="499">
        <v>0</v>
      </c>
      <c r="I10" s="499">
        <f>SUM(D10:H10)</f>
        <v>500</v>
      </c>
      <c r="J10" s="501">
        <v>0</v>
      </c>
      <c r="K10" s="30">
        <f>IF('School Info'!$W$7&gt;0,K9+1,"--")</f>
        <v>4</v>
      </c>
      <c r="L10" s="9">
        <f t="shared" si="13"/>
        <v>45965</v>
      </c>
      <c r="M10" s="8" t="str">
        <f t="shared" si="2"/>
        <v>Tuesday</v>
      </c>
      <c r="N10" s="64" t="str">
        <f t="shared" si="0"/>
        <v>खुला</v>
      </c>
      <c r="O10" s="63" t="str">
        <f t="shared" si="1"/>
        <v>Tuesday</v>
      </c>
      <c r="P10" s="71" t="str">
        <f t="shared" si="3"/>
        <v>चावल एवं दाल/सब्जी</v>
      </c>
      <c r="Q10" s="134" t="str">
        <f t="shared" si="4"/>
        <v>R</v>
      </c>
      <c r="R10" s="140">
        <f>IF('School Info'!$W$7&gt;=K10,R9,"---")</f>
        <v>145</v>
      </c>
      <c r="S10" s="141">
        <f>IF('School Info'!$W$7&gt;=K10,S9,"---")</f>
        <v>200</v>
      </c>
      <c r="T10" s="141">
        <f t="shared" si="5"/>
        <v>345</v>
      </c>
      <c r="U10" s="141">
        <f>IF('School Info'!$W$7&gt;=K10,U9,"---")</f>
        <v>135</v>
      </c>
      <c r="V10" s="141">
        <f>IF('School Info'!$W$7&gt;=K10,V9,"---")</f>
        <v>168</v>
      </c>
      <c r="W10" s="137">
        <f t="shared" si="6"/>
        <v>303</v>
      </c>
      <c r="X10" s="149">
        <v>10</v>
      </c>
      <c r="Y10" s="150">
        <v>15</v>
      </c>
      <c r="Z10" s="138">
        <f t="shared" si="7"/>
        <v>25</v>
      </c>
      <c r="AA10" s="150">
        <v>5</v>
      </c>
      <c r="AB10" s="150">
        <v>7</v>
      </c>
      <c r="AC10" s="139">
        <f t="shared" si="8"/>
        <v>12</v>
      </c>
      <c r="AD10" s="510"/>
      <c r="AE10" s="511"/>
      <c r="AF10" s="510"/>
      <c r="AG10" s="511"/>
      <c r="AH10" s="510"/>
      <c r="AI10" s="511"/>
      <c r="AJ10" s="510"/>
      <c r="AK10" s="511"/>
      <c r="AL10" s="865"/>
      <c r="AM10" s="867"/>
      <c r="AN10" s="867"/>
      <c r="AO10" s="830"/>
      <c r="AP10" s="808"/>
      <c r="AQ10" s="110" t="s">
        <v>78</v>
      </c>
      <c r="AR10" s="24">
        <f t="shared" si="9"/>
        <v>0</v>
      </c>
      <c r="AS10" s="24">
        <f t="shared" si="10"/>
        <v>25</v>
      </c>
      <c r="AT10" s="24">
        <f t="shared" si="11"/>
        <v>0</v>
      </c>
      <c r="AU10" s="24">
        <f t="shared" si="12"/>
        <v>12</v>
      </c>
      <c r="AV10" s="110"/>
      <c r="AW10" s="25">
        <f>AR10*'School Info'!$E$17/1000</f>
        <v>0</v>
      </c>
      <c r="AX10" s="25">
        <f>AS10*'School Info'!$E$17/1000</f>
        <v>2.5</v>
      </c>
      <c r="AY10" s="25">
        <f>AT10*'School Info'!$E$18/1000</f>
        <v>0</v>
      </c>
      <c r="AZ10" s="25">
        <f>AU10*'School Info'!$E$18/1000</f>
        <v>1.8</v>
      </c>
    </row>
    <row r="11" spans="1:52" ht="23.25" customHeight="1" thickBot="1">
      <c r="A11" s="673"/>
      <c r="B11" s="171" t="s">
        <v>254</v>
      </c>
      <c r="C11" s="174" t="s">
        <v>142</v>
      </c>
      <c r="D11" s="502">
        <v>100</v>
      </c>
      <c r="E11" s="502">
        <v>0</v>
      </c>
      <c r="F11" s="503">
        <f>AF38</f>
        <v>0</v>
      </c>
      <c r="G11" s="503">
        <f>AJ38</f>
        <v>0</v>
      </c>
      <c r="H11" s="502">
        <v>0</v>
      </c>
      <c r="I11" s="499">
        <f t="shared" ref="I11:I13" si="14">SUM(D11:H11)</f>
        <v>100</v>
      </c>
      <c r="J11" s="504">
        <v>0</v>
      </c>
      <c r="K11" s="30">
        <f>IF('School Info'!$W$7&gt;0,K10+1,"--")</f>
        <v>5</v>
      </c>
      <c r="L11" s="9">
        <f t="shared" si="13"/>
        <v>45966</v>
      </c>
      <c r="M11" s="8" t="str">
        <f t="shared" si="2"/>
        <v>Wednesday</v>
      </c>
      <c r="N11" s="64" t="str">
        <f t="shared" si="0"/>
        <v>खुला</v>
      </c>
      <c r="O11" s="63" t="str">
        <f t="shared" si="1"/>
        <v>Wednesday</v>
      </c>
      <c r="P11" s="71" t="str">
        <f t="shared" si="3"/>
        <v>रोटी -दाल, सब्जी</v>
      </c>
      <c r="Q11" s="134" t="str">
        <f t="shared" si="4"/>
        <v>W</v>
      </c>
      <c r="R11" s="140">
        <f>IF('School Info'!$W$7&gt;=K11,R10,"---")</f>
        <v>145</v>
      </c>
      <c r="S11" s="141">
        <f>IF('School Info'!$W$7&gt;=K11,S10,"---")</f>
        <v>200</v>
      </c>
      <c r="T11" s="141">
        <f t="shared" si="5"/>
        <v>345</v>
      </c>
      <c r="U11" s="141">
        <f>IF('School Info'!$W$7&gt;=K11,U10,"---")</f>
        <v>135</v>
      </c>
      <c r="V11" s="141">
        <f>IF('School Info'!$W$7&gt;=K11,V10,"---")</f>
        <v>168</v>
      </c>
      <c r="W11" s="137">
        <f t="shared" si="6"/>
        <v>303</v>
      </c>
      <c r="X11" s="149">
        <v>10</v>
      </c>
      <c r="Y11" s="150">
        <v>15</v>
      </c>
      <c r="Z11" s="138">
        <f t="shared" si="7"/>
        <v>25</v>
      </c>
      <c r="AA11" s="150">
        <v>5</v>
      </c>
      <c r="AB11" s="150">
        <v>7</v>
      </c>
      <c r="AC11" s="139">
        <f t="shared" si="8"/>
        <v>12</v>
      </c>
      <c r="AD11" s="510"/>
      <c r="AE11" s="511"/>
      <c r="AF11" s="510"/>
      <c r="AG11" s="511"/>
      <c r="AH11" s="510"/>
      <c r="AI11" s="511"/>
      <c r="AJ11" s="510"/>
      <c r="AK11" s="511"/>
      <c r="AL11" s="862"/>
      <c r="AM11" s="862"/>
      <c r="AN11" s="862"/>
      <c r="AO11" s="863"/>
      <c r="AP11" s="808"/>
      <c r="AQ11" s="110" t="s">
        <v>79</v>
      </c>
      <c r="AR11" s="24">
        <f t="shared" si="9"/>
        <v>25</v>
      </c>
      <c r="AS11" s="24">
        <f t="shared" si="10"/>
        <v>0</v>
      </c>
      <c r="AT11" s="24">
        <f t="shared" si="11"/>
        <v>12</v>
      </c>
      <c r="AU11" s="24">
        <f t="shared" si="12"/>
        <v>0</v>
      </c>
      <c r="AV11" s="110"/>
      <c r="AW11" s="25">
        <f>AR11*'School Info'!$E$17/1000</f>
        <v>2.5</v>
      </c>
      <c r="AX11" s="25">
        <f>AS11*'School Info'!$E$17/1000</f>
        <v>0</v>
      </c>
      <c r="AY11" s="25">
        <f>AT11*'School Info'!$E$18/1000</f>
        <v>1.8</v>
      </c>
      <c r="AZ11" s="25">
        <f>AU11*'School Info'!$E$18/1000</f>
        <v>0</v>
      </c>
    </row>
    <row r="12" spans="1:52" ht="23.25" customHeight="1" thickBot="1">
      <c r="A12" s="673"/>
      <c r="B12" s="171" t="s">
        <v>255</v>
      </c>
      <c r="C12" s="174" t="s">
        <v>141</v>
      </c>
      <c r="D12" s="502">
        <v>31.7</v>
      </c>
      <c r="E12" s="502">
        <v>275</v>
      </c>
      <c r="F12" s="503">
        <f>AE38</f>
        <v>0</v>
      </c>
      <c r="G12" s="503">
        <f>AI38</f>
        <v>0</v>
      </c>
      <c r="H12" s="502">
        <v>0</v>
      </c>
      <c r="I12" s="499">
        <f t="shared" si="14"/>
        <v>306.7</v>
      </c>
      <c r="J12" s="504">
        <v>0</v>
      </c>
      <c r="K12" s="30">
        <f>IF('School Info'!$W$7&gt;0,K11+1,"--")</f>
        <v>6</v>
      </c>
      <c r="L12" s="9">
        <f>L11+1</f>
        <v>45967</v>
      </c>
      <c r="M12" s="8" t="str">
        <f t="shared" si="2"/>
        <v>Thursday</v>
      </c>
      <c r="N12" s="64" t="str">
        <f t="shared" si="0"/>
        <v>खुला</v>
      </c>
      <c r="O12" s="63" t="str">
        <f t="shared" si="1"/>
        <v>Thursday</v>
      </c>
      <c r="P12" s="71" t="str">
        <f t="shared" si="3"/>
        <v>खिचडी  (दाल,चावल,सब्जी आदि युक्त)</v>
      </c>
      <c r="Q12" s="134" t="str">
        <f t="shared" si="4"/>
        <v>R</v>
      </c>
      <c r="R12" s="140">
        <f>IF('School Info'!$W$7&gt;=K12,R11,"---")</f>
        <v>145</v>
      </c>
      <c r="S12" s="141">
        <f>IF('School Info'!$W$7&gt;=K12,S11,"---")</f>
        <v>200</v>
      </c>
      <c r="T12" s="141">
        <f t="shared" si="5"/>
        <v>345</v>
      </c>
      <c r="U12" s="141">
        <f>IF('School Info'!$W$7&gt;=K12,U11,"---")</f>
        <v>135</v>
      </c>
      <c r="V12" s="141">
        <f>IF('School Info'!$W$7&gt;=K12,V11,"---")</f>
        <v>168</v>
      </c>
      <c r="W12" s="137">
        <f t="shared" si="6"/>
        <v>303</v>
      </c>
      <c r="X12" s="149">
        <v>10</v>
      </c>
      <c r="Y12" s="150">
        <v>15</v>
      </c>
      <c r="Z12" s="138">
        <f t="shared" si="7"/>
        <v>25</v>
      </c>
      <c r="AA12" s="150">
        <v>5</v>
      </c>
      <c r="AB12" s="150">
        <v>7</v>
      </c>
      <c r="AC12" s="139">
        <f t="shared" si="8"/>
        <v>12</v>
      </c>
      <c r="AD12" s="510"/>
      <c r="AE12" s="511"/>
      <c r="AF12" s="510"/>
      <c r="AG12" s="511"/>
      <c r="AH12" s="510"/>
      <c r="AI12" s="511"/>
      <c r="AJ12" s="510"/>
      <c r="AK12" s="511"/>
      <c r="AL12" s="871" t="s">
        <v>291</v>
      </c>
      <c r="AM12" s="871"/>
      <c r="AN12" s="871"/>
      <c r="AO12" s="872"/>
      <c r="AP12" s="808"/>
      <c r="AQ12" s="110" t="s">
        <v>100</v>
      </c>
      <c r="AR12" s="24">
        <f t="shared" si="9"/>
        <v>0</v>
      </c>
      <c r="AS12" s="24">
        <f t="shared" si="10"/>
        <v>25</v>
      </c>
      <c r="AT12" s="24">
        <f t="shared" si="11"/>
        <v>0</v>
      </c>
      <c r="AU12" s="24">
        <f t="shared" si="12"/>
        <v>12</v>
      </c>
      <c r="AV12" s="110"/>
      <c r="AW12" s="25">
        <f>AR12*'School Info'!$E$17/1000</f>
        <v>0</v>
      </c>
      <c r="AX12" s="25">
        <f>AS12*'School Info'!$E$17/1000</f>
        <v>2.5</v>
      </c>
      <c r="AY12" s="25">
        <f>AT12*'School Info'!$E$18/1000</f>
        <v>0</v>
      </c>
      <c r="AZ12" s="25">
        <f>AU12*'School Info'!$E$18/1000</f>
        <v>1.8</v>
      </c>
    </row>
    <row r="13" spans="1:52" ht="23.25" customHeight="1" thickBot="1">
      <c r="A13" s="673"/>
      <c r="B13" s="172" t="s">
        <v>255</v>
      </c>
      <c r="C13" s="112" t="s">
        <v>142</v>
      </c>
      <c r="D13" s="505">
        <v>95.7</v>
      </c>
      <c r="E13" s="505">
        <v>132</v>
      </c>
      <c r="F13" s="506">
        <f>AG38</f>
        <v>0</v>
      </c>
      <c r="G13" s="506">
        <f>AK38</f>
        <v>0</v>
      </c>
      <c r="H13" s="505">
        <v>0</v>
      </c>
      <c r="I13" s="499">
        <f t="shared" si="14"/>
        <v>227.7</v>
      </c>
      <c r="J13" s="507">
        <v>0</v>
      </c>
      <c r="K13" s="30">
        <f>IF('School Info'!$W$7&gt;0,K12+1,"--")</f>
        <v>7</v>
      </c>
      <c r="L13" s="9">
        <f t="shared" si="13"/>
        <v>45968</v>
      </c>
      <c r="M13" s="8" t="str">
        <f t="shared" si="2"/>
        <v>Friday</v>
      </c>
      <c r="N13" s="64" t="str">
        <f t="shared" si="0"/>
        <v>खुला</v>
      </c>
      <c r="O13" s="63" t="str">
        <f t="shared" si="1"/>
        <v>Friday</v>
      </c>
      <c r="P13" s="71" t="str">
        <f t="shared" si="3"/>
        <v>रोटी -दाल, सब्जी</v>
      </c>
      <c r="Q13" s="134" t="str">
        <f t="shared" si="4"/>
        <v>W</v>
      </c>
      <c r="R13" s="140">
        <f>IF('School Info'!$W$7&gt;=K13,R12,"---")</f>
        <v>145</v>
      </c>
      <c r="S13" s="141">
        <f>IF('School Info'!$W$7&gt;=K13,S12,"---")</f>
        <v>200</v>
      </c>
      <c r="T13" s="141">
        <f t="shared" si="5"/>
        <v>345</v>
      </c>
      <c r="U13" s="141">
        <f>IF('School Info'!$W$7&gt;=K13,U12,"---")</f>
        <v>135</v>
      </c>
      <c r="V13" s="141">
        <f>IF('School Info'!$W$7&gt;=K13,V12,"---")</f>
        <v>168</v>
      </c>
      <c r="W13" s="137">
        <f t="shared" si="6"/>
        <v>303</v>
      </c>
      <c r="X13" s="149">
        <v>10</v>
      </c>
      <c r="Y13" s="150">
        <v>15</v>
      </c>
      <c r="Z13" s="138">
        <f t="shared" si="7"/>
        <v>25</v>
      </c>
      <c r="AA13" s="150">
        <v>5</v>
      </c>
      <c r="AB13" s="150">
        <v>7</v>
      </c>
      <c r="AC13" s="139">
        <f t="shared" si="8"/>
        <v>12</v>
      </c>
      <c r="AD13" s="510"/>
      <c r="AE13" s="511"/>
      <c r="AF13" s="510"/>
      <c r="AG13" s="511"/>
      <c r="AH13" s="510"/>
      <c r="AI13" s="511"/>
      <c r="AJ13" s="510"/>
      <c r="AK13" s="511"/>
      <c r="AL13" s="873"/>
      <c r="AM13" s="873"/>
      <c r="AN13" s="873"/>
      <c r="AO13" s="874"/>
      <c r="AP13" s="808"/>
      <c r="AQ13" s="110" t="s">
        <v>80</v>
      </c>
      <c r="AR13" s="24">
        <f t="shared" si="9"/>
        <v>25</v>
      </c>
      <c r="AS13" s="24">
        <f t="shared" si="10"/>
        <v>0</v>
      </c>
      <c r="AT13" s="24">
        <f t="shared" si="11"/>
        <v>12</v>
      </c>
      <c r="AU13" s="24">
        <f t="shared" si="12"/>
        <v>0</v>
      </c>
      <c r="AV13" s="110"/>
      <c r="AW13" s="25">
        <f>AR13*'School Info'!$E$17/1000</f>
        <v>2.5</v>
      </c>
      <c r="AX13" s="25">
        <f>AS13*'School Info'!$E$17/1000</f>
        <v>0</v>
      </c>
      <c r="AY13" s="25">
        <f>AT13*'School Info'!$E$18/1000</f>
        <v>1.8</v>
      </c>
      <c r="AZ13" s="25">
        <f>AU13*'School Info'!$E$18/1000</f>
        <v>0</v>
      </c>
    </row>
    <row r="14" spans="1:52" ht="23.25" customHeight="1" thickBot="1">
      <c r="A14" s="673"/>
      <c r="B14" s="842" t="s">
        <v>280</v>
      </c>
      <c r="C14" s="843"/>
      <c r="D14" s="843"/>
      <c r="E14" s="843"/>
      <c r="F14" s="843"/>
      <c r="G14" s="843"/>
      <c r="H14" s="843"/>
      <c r="I14" s="843"/>
      <c r="J14" s="843"/>
      <c r="K14" s="30">
        <f>IF('School Info'!$W$7&gt;0,K13+1,"--")</f>
        <v>8</v>
      </c>
      <c r="L14" s="9">
        <f>L13+1</f>
        <v>45969</v>
      </c>
      <c r="M14" s="8" t="str">
        <f t="shared" si="2"/>
        <v>Saturday</v>
      </c>
      <c r="N14" s="64" t="str">
        <f t="shared" si="0"/>
        <v>खुला</v>
      </c>
      <c r="O14" s="63" t="str">
        <f t="shared" si="1"/>
        <v>Saturday</v>
      </c>
      <c r="P14" s="71" t="str">
        <f t="shared" si="3"/>
        <v>रोटी -दाल, सब्जी</v>
      </c>
      <c r="Q14" s="134" t="str">
        <f t="shared" si="4"/>
        <v>W</v>
      </c>
      <c r="R14" s="140">
        <f>IF('School Info'!$W$7&gt;=K14,R13,"---")</f>
        <v>145</v>
      </c>
      <c r="S14" s="141">
        <f>IF('School Info'!$W$7&gt;=K14,S13,"---")</f>
        <v>200</v>
      </c>
      <c r="T14" s="141">
        <f t="shared" si="5"/>
        <v>345</v>
      </c>
      <c r="U14" s="141">
        <f>IF('School Info'!$W$7&gt;=K14,U13,"---")</f>
        <v>135</v>
      </c>
      <c r="V14" s="141">
        <f>IF('School Info'!$W$7&gt;=K14,V13,"---")</f>
        <v>168</v>
      </c>
      <c r="W14" s="137">
        <f t="shared" si="6"/>
        <v>303</v>
      </c>
      <c r="X14" s="149">
        <v>10</v>
      </c>
      <c r="Y14" s="150">
        <v>15</v>
      </c>
      <c r="Z14" s="138">
        <f t="shared" si="7"/>
        <v>25</v>
      </c>
      <c r="AA14" s="150">
        <v>5</v>
      </c>
      <c r="AB14" s="150">
        <v>7</v>
      </c>
      <c r="AC14" s="139">
        <f t="shared" si="8"/>
        <v>12</v>
      </c>
      <c r="AD14" s="510"/>
      <c r="AE14" s="511"/>
      <c r="AF14" s="510"/>
      <c r="AG14" s="511"/>
      <c r="AH14" s="510"/>
      <c r="AI14" s="511"/>
      <c r="AJ14" s="510"/>
      <c r="AK14" s="511"/>
      <c r="AL14" s="873"/>
      <c r="AM14" s="873"/>
      <c r="AN14" s="873"/>
      <c r="AO14" s="874"/>
      <c r="AP14" s="808"/>
      <c r="AQ14" s="110" t="s">
        <v>81</v>
      </c>
      <c r="AR14" s="24">
        <f t="shared" si="9"/>
        <v>25</v>
      </c>
      <c r="AS14" s="24">
        <f t="shared" si="10"/>
        <v>0</v>
      </c>
      <c r="AT14" s="24">
        <f t="shared" si="11"/>
        <v>12</v>
      </c>
      <c r="AU14" s="24">
        <f t="shared" si="12"/>
        <v>0</v>
      </c>
      <c r="AV14" s="110"/>
      <c r="AW14" s="25">
        <f>AR14*'School Info'!$E$17/1000</f>
        <v>2.5</v>
      </c>
      <c r="AX14" s="25">
        <f>AS14*'School Info'!$E$17/1000</f>
        <v>0</v>
      </c>
      <c r="AY14" s="25">
        <f>AT14*'School Info'!$E$18/1000</f>
        <v>1.8</v>
      </c>
      <c r="AZ14" s="25">
        <f>AU14*'School Info'!$E$18/1000</f>
        <v>0</v>
      </c>
    </row>
    <row r="15" spans="1:52" ht="23.25" customHeight="1">
      <c r="A15" s="673"/>
      <c r="B15" s="844" t="s">
        <v>254</v>
      </c>
      <c r="C15" s="845"/>
      <c r="D15" s="845"/>
      <c r="E15" s="846"/>
      <c r="F15" s="869" t="s">
        <v>255</v>
      </c>
      <c r="G15" s="870"/>
      <c r="H15" s="870"/>
      <c r="I15" s="870"/>
      <c r="J15" s="870"/>
      <c r="K15" s="30">
        <f>IF('School Info'!$W$7&gt;0,K14+1,"--")</f>
        <v>9</v>
      </c>
      <c r="L15" s="9">
        <f t="shared" si="13"/>
        <v>45970</v>
      </c>
      <c r="M15" s="8" t="str">
        <f t="shared" si="2"/>
        <v>Sunday</v>
      </c>
      <c r="N15" s="64" t="str">
        <f t="shared" si="0"/>
        <v>रवि॰अव॰</v>
      </c>
      <c r="O15" s="63" t="str">
        <f t="shared" si="1"/>
        <v>Holiday</v>
      </c>
      <c r="P15" s="71">
        <f t="shared" si="3"/>
        <v>0</v>
      </c>
      <c r="Q15" s="134" t="str">
        <f t="shared" si="4"/>
        <v>---</v>
      </c>
      <c r="R15" s="140">
        <f>IF('School Info'!$W$7&gt;=K15,R14,"---")</f>
        <v>145</v>
      </c>
      <c r="S15" s="141">
        <f>IF('School Info'!$W$7&gt;=K15,S14,"---")</f>
        <v>200</v>
      </c>
      <c r="T15" s="141">
        <f t="shared" si="5"/>
        <v>345</v>
      </c>
      <c r="U15" s="141">
        <f>IF('School Info'!$W$7&gt;=K15,U14,"---")</f>
        <v>135</v>
      </c>
      <c r="V15" s="141">
        <f>IF('School Info'!$W$7&gt;=K15,V14,"---")</f>
        <v>168</v>
      </c>
      <c r="W15" s="137">
        <f t="shared" si="6"/>
        <v>303</v>
      </c>
      <c r="X15" s="149">
        <v>0</v>
      </c>
      <c r="Y15" s="150">
        <v>0</v>
      </c>
      <c r="Z15" s="138">
        <f t="shared" si="7"/>
        <v>0</v>
      </c>
      <c r="AA15" s="150">
        <v>0</v>
      </c>
      <c r="AB15" s="150">
        <v>0</v>
      </c>
      <c r="AC15" s="139">
        <f t="shared" si="8"/>
        <v>0</v>
      </c>
      <c r="AD15" s="510"/>
      <c r="AE15" s="511"/>
      <c r="AF15" s="510"/>
      <c r="AG15" s="511"/>
      <c r="AH15" s="510"/>
      <c r="AI15" s="511"/>
      <c r="AJ15" s="510"/>
      <c r="AK15" s="511"/>
      <c r="AL15" s="873"/>
      <c r="AM15" s="873"/>
      <c r="AN15" s="873"/>
      <c r="AO15" s="874"/>
      <c r="AP15" s="808"/>
      <c r="AQ15" s="110" t="s">
        <v>82</v>
      </c>
      <c r="AR15" s="24">
        <f t="shared" si="9"/>
        <v>0</v>
      </c>
      <c r="AS15" s="24">
        <f t="shared" si="10"/>
        <v>0</v>
      </c>
      <c r="AT15" s="24">
        <f t="shared" si="11"/>
        <v>0</v>
      </c>
      <c r="AU15" s="24">
        <f t="shared" si="12"/>
        <v>0</v>
      </c>
      <c r="AV15" s="110"/>
      <c r="AW15" s="25">
        <f>AR15*'School Info'!$E$17/1000</f>
        <v>0</v>
      </c>
      <c r="AX15" s="25">
        <f>AS15*'School Info'!$E$17/1000</f>
        <v>0</v>
      </c>
      <c r="AY15" s="25">
        <f>AT15*'School Info'!$E$18/1000</f>
        <v>0</v>
      </c>
      <c r="AZ15" s="25">
        <f>AU15*'School Info'!$E$18/1000</f>
        <v>0</v>
      </c>
    </row>
    <row r="16" spans="1:52" ht="23.25" customHeight="1">
      <c r="A16" s="673"/>
      <c r="B16" s="77" t="s">
        <v>57</v>
      </c>
      <c r="C16" s="78" t="s">
        <v>21</v>
      </c>
      <c r="D16" s="79" t="s">
        <v>22</v>
      </c>
      <c r="E16" s="79" t="s">
        <v>56</v>
      </c>
      <c r="F16" s="79" t="s">
        <v>57</v>
      </c>
      <c r="G16" s="79" t="s">
        <v>21</v>
      </c>
      <c r="H16" s="79" t="s">
        <v>22</v>
      </c>
      <c r="I16" s="79"/>
      <c r="J16" s="142" t="s">
        <v>56</v>
      </c>
      <c r="K16" s="30">
        <f>IF('School Info'!$W$7&gt;0,K15+1,"--")</f>
        <v>10</v>
      </c>
      <c r="L16" s="9">
        <f t="shared" si="13"/>
        <v>45971</v>
      </c>
      <c r="M16" s="8" t="str">
        <f t="shared" si="2"/>
        <v>Monday</v>
      </c>
      <c r="N16" s="64" t="str">
        <f t="shared" si="0"/>
        <v>खुला</v>
      </c>
      <c r="O16" s="63" t="str">
        <f t="shared" si="1"/>
        <v>Monday</v>
      </c>
      <c r="P16" s="71" t="str">
        <f t="shared" si="3"/>
        <v>रोटी -दाल, सब्जी</v>
      </c>
      <c r="Q16" s="134" t="str">
        <f t="shared" si="4"/>
        <v>W</v>
      </c>
      <c r="R16" s="140">
        <f>IF('School Info'!$W$7&gt;=K16,R15,"---")</f>
        <v>145</v>
      </c>
      <c r="S16" s="141">
        <f>IF('School Info'!$W$7&gt;=K16,S15,"---")</f>
        <v>200</v>
      </c>
      <c r="T16" s="141">
        <f t="shared" si="5"/>
        <v>345</v>
      </c>
      <c r="U16" s="141">
        <f>IF('School Info'!$W$7&gt;=K16,U15,"---")</f>
        <v>135</v>
      </c>
      <c r="V16" s="141">
        <f>IF('School Info'!$W$7&gt;=K16,V15,"---")</f>
        <v>168</v>
      </c>
      <c r="W16" s="137">
        <f t="shared" si="6"/>
        <v>303</v>
      </c>
      <c r="X16" s="149">
        <v>10</v>
      </c>
      <c r="Y16" s="150">
        <v>15</v>
      </c>
      <c r="Z16" s="138">
        <f t="shared" si="7"/>
        <v>25</v>
      </c>
      <c r="AA16" s="150">
        <v>5</v>
      </c>
      <c r="AB16" s="150">
        <v>7</v>
      </c>
      <c r="AC16" s="139">
        <f t="shared" si="8"/>
        <v>12</v>
      </c>
      <c r="AD16" s="510"/>
      <c r="AE16" s="511"/>
      <c r="AF16" s="510"/>
      <c r="AG16" s="511"/>
      <c r="AH16" s="510"/>
      <c r="AI16" s="511"/>
      <c r="AJ16" s="510"/>
      <c r="AK16" s="511"/>
      <c r="AL16" s="873"/>
      <c r="AM16" s="873"/>
      <c r="AN16" s="873"/>
      <c r="AO16" s="874"/>
      <c r="AP16" s="808"/>
      <c r="AQ16" s="110" t="s">
        <v>83</v>
      </c>
      <c r="AR16" s="24">
        <f t="shared" si="9"/>
        <v>25</v>
      </c>
      <c r="AS16" s="24">
        <f t="shared" si="10"/>
        <v>0</v>
      </c>
      <c r="AT16" s="24">
        <f t="shared" si="11"/>
        <v>12</v>
      </c>
      <c r="AU16" s="24">
        <f t="shared" si="12"/>
        <v>0</v>
      </c>
      <c r="AV16" s="110"/>
      <c r="AW16" s="25">
        <f>AR16*'School Info'!$E$17/1000</f>
        <v>2.5</v>
      </c>
      <c r="AX16" s="25">
        <f>AS16*'School Info'!$E$17/1000</f>
        <v>0</v>
      </c>
      <c r="AY16" s="25">
        <f>AT16*'School Info'!$E$18/1000</f>
        <v>1.8</v>
      </c>
      <c r="AZ16" s="25">
        <f>AU16*'School Info'!$E$18/1000</f>
        <v>0</v>
      </c>
    </row>
    <row r="17" spans="1:52" ht="23.25" customHeight="1">
      <c r="A17" s="673"/>
      <c r="B17" s="132"/>
      <c r="C17" s="132"/>
      <c r="D17" s="133"/>
      <c r="E17" s="76">
        <f>B17+C17+D17</f>
        <v>0</v>
      </c>
      <c r="F17" s="133"/>
      <c r="G17" s="133"/>
      <c r="H17" s="133"/>
      <c r="I17" s="75"/>
      <c r="J17" s="76">
        <f>F17+G17+H17</f>
        <v>0</v>
      </c>
      <c r="K17" s="30">
        <f>IF('School Info'!$W$7&gt;0,K16+1,"--")</f>
        <v>11</v>
      </c>
      <c r="L17" s="9">
        <f t="shared" si="13"/>
        <v>45972</v>
      </c>
      <c r="M17" s="8" t="str">
        <f t="shared" si="2"/>
        <v>Tuesday</v>
      </c>
      <c r="N17" s="64" t="str">
        <f t="shared" si="0"/>
        <v>खुला</v>
      </c>
      <c r="O17" s="63" t="str">
        <f t="shared" si="1"/>
        <v>Tuesday</v>
      </c>
      <c r="P17" s="71" t="str">
        <f t="shared" si="3"/>
        <v>चावल एवं दाल/सब्जी</v>
      </c>
      <c r="Q17" s="134" t="str">
        <f t="shared" si="4"/>
        <v>R</v>
      </c>
      <c r="R17" s="140">
        <f>IF('School Info'!$W$7&gt;=K17,R16,"---")</f>
        <v>145</v>
      </c>
      <c r="S17" s="141">
        <f>IF('School Info'!$W$7&gt;=K17,S16,"---")</f>
        <v>200</v>
      </c>
      <c r="T17" s="141">
        <f t="shared" si="5"/>
        <v>345</v>
      </c>
      <c r="U17" s="141">
        <f>IF('School Info'!$W$7&gt;=K17,U16,"---")</f>
        <v>135</v>
      </c>
      <c r="V17" s="141">
        <f>IF('School Info'!$W$7&gt;=K17,V16,"---")</f>
        <v>168</v>
      </c>
      <c r="W17" s="137">
        <f t="shared" si="6"/>
        <v>303</v>
      </c>
      <c r="X17" s="149">
        <v>10</v>
      </c>
      <c r="Y17" s="150">
        <v>15</v>
      </c>
      <c r="Z17" s="138">
        <f t="shared" si="7"/>
        <v>25</v>
      </c>
      <c r="AA17" s="150">
        <v>5</v>
      </c>
      <c r="AB17" s="150">
        <v>7</v>
      </c>
      <c r="AC17" s="139">
        <f t="shared" si="8"/>
        <v>12</v>
      </c>
      <c r="AD17" s="510"/>
      <c r="AE17" s="511"/>
      <c r="AF17" s="510"/>
      <c r="AG17" s="511"/>
      <c r="AH17" s="510"/>
      <c r="AI17" s="511"/>
      <c r="AJ17" s="510"/>
      <c r="AK17" s="511"/>
      <c r="AL17" s="873"/>
      <c r="AM17" s="873"/>
      <c r="AN17" s="873"/>
      <c r="AO17" s="874"/>
      <c r="AP17" s="808"/>
      <c r="AQ17" s="110" t="s">
        <v>84</v>
      </c>
      <c r="AR17" s="24">
        <f t="shared" si="9"/>
        <v>0</v>
      </c>
      <c r="AS17" s="24">
        <f t="shared" si="10"/>
        <v>25</v>
      </c>
      <c r="AT17" s="24">
        <f t="shared" si="11"/>
        <v>0</v>
      </c>
      <c r="AU17" s="24">
        <f t="shared" si="12"/>
        <v>12</v>
      </c>
      <c r="AV17" s="110"/>
      <c r="AW17" s="25">
        <f>AR17*'School Info'!$E$17/1000</f>
        <v>0</v>
      </c>
      <c r="AX17" s="25">
        <f>AS17*'School Info'!$E$17/1000</f>
        <v>2.5</v>
      </c>
      <c r="AY17" s="25">
        <f>AT17*'School Info'!$E$18/1000</f>
        <v>0</v>
      </c>
      <c r="AZ17" s="25">
        <f>AU17*'School Info'!$E$18/1000</f>
        <v>1.8</v>
      </c>
    </row>
    <row r="18" spans="1:52" ht="23.25" customHeight="1" thickBot="1">
      <c r="A18" s="673"/>
      <c r="B18" s="787" t="s">
        <v>50</v>
      </c>
      <c r="C18" s="788"/>
      <c r="D18" s="788"/>
      <c r="E18" s="788"/>
      <c r="F18" s="788"/>
      <c r="G18" s="788"/>
      <c r="H18" s="788"/>
      <c r="I18" s="788"/>
      <c r="J18" s="788"/>
      <c r="K18" s="30">
        <f>IF('School Info'!$W$7&gt;0,K17+1,"--")</f>
        <v>12</v>
      </c>
      <c r="L18" s="9">
        <f t="shared" si="13"/>
        <v>45973</v>
      </c>
      <c r="M18" s="8" t="str">
        <f t="shared" si="2"/>
        <v>Wednesday</v>
      </c>
      <c r="N18" s="64" t="str">
        <f t="shared" si="0"/>
        <v>खुला</v>
      </c>
      <c r="O18" s="63" t="str">
        <f t="shared" si="1"/>
        <v>Wednesday</v>
      </c>
      <c r="P18" s="71" t="str">
        <f t="shared" si="3"/>
        <v>रोटी -दाल, सब्जी</v>
      </c>
      <c r="Q18" s="134" t="str">
        <f t="shared" si="4"/>
        <v>W</v>
      </c>
      <c r="R18" s="140">
        <f>IF('School Info'!$W$7&gt;=K18,R17,"---")</f>
        <v>145</v>
      </c>
      <c r="S18" s="141">
        <f>IF('School Info'!$W$7&gt;=K18,S17,"---")</f>
        <v>200</v>
      </c>
      <c r="T18" s="141">
        <f t="shared" si="5"/>
        <v>345</v>
      </c>
      <c r="U18" s="141">
        <f>IF('School Info'!$W$7&gt;=K18,U17,"---")</f>
        <v>135</v>
      </c>
      <c r="V18" s="141">
        <f>IF('School Info'!$W$7&gt;=K18,V17,"---")</f>
        <v>168</v>
      </c>
      <c r="W18" s="137">
        <f t="shared" si="6"/>
        <v>303</v>
      </c>
      <c r="X18" s="149">
        <v>10</v>
      </c>
      <c r="Y18" s="150">
        <v>15</v>
      </c>
      <c r="Z18" s="138">
        <f t="shared" si="7"/>
        <v>25</v>
      </c>
      <c r="AA18" s="150">
        <v>5</v>
      </c>
      <c r="AB18" s="150">
        <v>7</v>
      </c>
      <c r="AC18" s="139">
        <f t="shared" si="8"/>
        <v>12</v>
      </c>
      <c r="AD18" s="510"/>
      <c r="AE18" s="511"/>
      <c r="AF18" s="510"/>
      <c r="AG18" s="511"/>
      <c r="AH18" s="510"/>
      <c r="AI18" s="511"/>
      <c r="AJ18" s="510"/>
      <c r="AK18" s="511"/>
      <c r="AL18" s="873"/>
      <c r="AM18" s="873"/>
      <c r="AN18" s="873"/>
      <c r="AO18" s="874"/>
      <c r="AP18" s="808"/>
      <c r="AQ18" s="110" t="s">
        <v>85</v>
      </c>
      <c r="AR18" s="24">
        <f t="shared" si="9"/>
        <v>25</v>
      </c>
      <c r="AS18" s="24">
        <f t="shared" si="10"/>
        <v>0</v>
      </c>
      <c r="AT18" s="24">
        <f t="shared" si="11"/>
        <v>12</v>
      </c>
      <c r="AU18" s="24">
        <f t="shared" si="12"/>
        <v>0</v>
      </c>
      <c r="AV18" s="110"/>
      <c r="AW18" s="25">
        <f>AR18*'School Info'!$E$17/1000</f>
        <v>2.5</v>
      </c>
      <c r="AX18" s="25">
        <f>AS18*'School Info'!$E$17/1000</f>
        <v>0</v>
      </c>
      <c r="AY18" s="25">
        <f>AT18*'School Info'!$E$18/1000</f>
        <v>1.8</v>
      </c>
      <c r="AZ18" s="25">
        <f>AU18*'School Info'!$E$18/1000</f>
        <v>0</v>
      </c>
    </row>
    <row r="19" spans="1:52" ht="23.25" customHeight="1">
      <c r="A19" s="673"/>
      <c r="B19" s="847" t="s">
        <v>51</v>
      </c>
      <c r="C19" s="848"/>
      <c r="D19" s="849"/>
      <c r="E19" s="847" t="s">
        <v>52</v>
      </c>
      <c r="F19" s="848"/>
      <c r="G19" s="849"/>
      <c r="H19" s="826" t="s">
        <v>53</v>
      </c>
      <c r="I19" s="827"/>
      <c r="J19" s="828"/>
      <c r="K19" s="30">
        <f>IF('School Info'!$W$7&gt;0,K18+1,"--")</f>
        <v>13</v>
      </c>
      <c r="L19" s="9">
        <f t="shared" si="13"/>
        <v>45974</v>
      </c>
      <c r="M19" s="8" t="str">
        <f t="shared" si="2"/>
        <v>Thursday</v>
      </c>
      <c r="N19" s="64" t="str">
        <f t="shared" si="0"/>
        <v>खुला</v>
      </c>
      <c r="O19" s="63" t="str">
        <f t="shared" si="1"/>
        <v>Thursday</v>
      </c>
      <c r="P19" s="71" t="str">
        <f t="shared" si="3"/>
        <v>खिचडी  (दाल,चावल,सब्जी आदि युक्त)</v>
      </c>
      <c r="Q19" s="134" t="str">
        <f t="shared" si="4"/>
        <v>R</v>
      </c>
      <c r="R19" s="140">
        <f>IF('School Info'!$W$7&gt;=K19,R18,"---")</f>
        <v>145</v>
      </c>
      <c r="S19" s="141">
        <f>IF('School Info'!$W$7&gt;=K19,S18,"---")</f>
        <v>200</v>
      </c>
      <c r="T19" s="141">
        <f t="shared" si="5"/>
        <v>345</v>
      </c>
      <c r="U19" s="141">
        <f>IF('School Info'!$W$7&gt;=K19,U18,"---")</f>
        <v>135</v>
      </c>
      <c r="V19" s="141">
        <f>IF('School Info'!$W$7&gt;=K19,V18,"---")</f>
        <v>168</v>
      </c>
      <c r="W19" s="137">
        <f t="shared" si="6"/>
        <v>303</v>
      </c>
      <c r="X19" s="149">
        <v>10</v>
      </c>
      <c r="Y19" s="150">
        <v>15</v>
      </c>
      <c r="Z19" s="138">
        <f t="shared" si="7"/>
        <v>25</v>
      </c>
      <c r="AA19" s="150">
        <v>5</v>
      </c>
      <c r="AB19" s="150">
        <v>7</v>
      </c>
      <c r="AC19" s="139">
        <f t="shared" si="8"/>
        <v>12</v>
      </c>
      <c r="AD19" s="510"/>
      <c r="AE19" s="511"/>
      <c r="AF19" s="510"/>
      <c r="AG19" s="511"/>
      <c r="AH19" s="510"/>
      <c r="AI19" s="511"/>
      <c r="AJ19" s="510"/>
      <c r="AK19" s="511"/>
      <c r="AL19" s="873"/>
      <c r="AM19" s="873"/>
      <c r="AN19" s="873"/>
      <c r="AO19" s="874"/>
      <c r="AP19" s="808"/>
      <c r="AQ19" s="110" t="s">
        <v>86</v>
      </c>
      <c r="AR19" s="24">
        <f t="shared" si="9"/>
        <v>0</v>
      </c>
      <c r="AS19" s="24">
        <f t="shared" si="10"/>
        <v>25</v>
      </c>
      <c r="AT19" s="24">
        <f t="shared" si="11"/>
        <v>0</v>
      </c>
      <c r="AU19" s="24">
        <f t="shared" si="12"/>
        <v>12</v>
      </c>
      <c r="AV19" s="110"/>
      <c r="AW19" s="25">
        <f>AR19*'School Info'!$E$17/1000</f>
        <v>0</v>
      </c>
      <c r="AX19" s="25">
        <f>AS19*'School Info'!$E$17/1000</f>
        <v>2.5</v>
      </c>
      <c r="AY19" s="25">
        <f>AT19*'School Info'!$E$18/1000</f>
        <v>0</v>
      </c>
      <c r="AZ19" s="25">
        <f>AU19*'School Info'!$E$18/1000</f>
        <v>1.8</v>
      </c>
    </row>
    <row r="20" spans="1:52" ht="23.25" customHeight="1">
      <c r="A20" s="673"/>
      <c r="B20" s="816" t="s">
        <v>107</v>
      </c>
      <c r="C20" s="817"/>
      <c r="D20" s="818"/>
      <c r="E20" s="819" t="s">
        <v>481</v>
      </c>
      <c r="F20" s="820"/>
      <c r="G20" s="821"/>
      <c r="H20" s="797" t="s">
        <v>482</v>
      </c>
      <c r="I20" s="798"/>
      <c r="J20" s="799"/>
      <c r="K20" s="30">
        <f>IF('School Info'!$W$7&gt;0,K19+1,"--")</f>
        <v>14</v>
      </c>
      <c r="L20" s="9">
        <f t="shared" si="13"/>
        <v>45975</v>
      </c>
      <c r="M20" s="8" t="str">
        <f t="shared" si="2"/>
        <v>Friday</v>
      </c>
      <c r="N20" s="64" t="str">
        <f t="shared" si="0"/>
        <v>खुला</v>
      </c>
      <c r="O20" s="63" t="str">
        <f t="shared" si="1"/>
        <v>Friday</v>
      </c>
      <c r="P20" s="71" t="str">
        <f t="shared" si="3"/>
        <v>रोटी -दाल, सब्जी</v>
      </c>
      <c r="Q20" s="134" t="str">
        <f t="shared" si="4"/>
        <v>W</v>
      </c>
      <c r="R20" s="140">
        <f>IF('School Info'!$W$7&gt;=K20,R19,"---")</f>
        <v>145</v>
      </c>
      <c r="S20" s="141">
        <f>IF('School Info'!$W$7&gt;=K20,S19,"---")</f>
        <v>200</v>
      </c>
      <c r="T20" s="141">
        <f t="shared" si="5"/>
        <v>345</v>
      </c>
      <c r="U20" s="141">
        <f>IF('School Info'!$W$7&gt;=K20,U19,"---")</f>
        <v>135</v>
      </c>
      <c r="V20" s="141">
        <f>IF('School Info'!$W$7&gt;=K20,V19,"---")</f>
        <v>168</v>
      </c>
      <c r="W20" s="137">
        <f t="shared" si="6"/>
        <v>303</v>
      </c>
      <c r="X20" s="149">
        <v>10</v>
      </c>
      <c r="Y20" s="150">
        <v>15</v>
      </c>
      <c r="Z20" s="138">
        <f t="shared" si="7"/>
        <v>25</v>
      </c>
      <c r="AA20" s="150">
        <v>5</v>
      </c>
      <c r="AB20" s="150">
        <v>7</v>
      </c>
      <c r="AC20" s="139">
        <f t="shared" si="8"/>
        <v>12</v>
      </c>
      <c r="AD20" s="510"/>
      <c r="AE20" s="511"/>
      <c r="AF20" s="510"/>
      <c r="AG20" s="511"/>
      <c r="AH20" s="510"/>
      <c r="AI20" s="511"/>
      <c r="AJ20" s="510"/>
      <c r="AK20" s="511"/>
      <c r="AL20" s="873"/>
      <c r="AM20" s="873"/>
      <c r="AN20" s="873"/>
      <c r="AO20" s="874"/>
      <c r="AP20" s="808"/>
      <c r="AQ20" s="110" t="s">
        <v>87</v>
      </c>
      <c r="AR20" s="24">
        <f t="shared" si="9"/>
        <v>25</v>
      </c>
      <c r="AS20" s="24">
        <f t="shared" si="10"/>
        <v>0</v>
      </c>
      <c r="AT20" s="24">
        <f t="shared" si="11"/>
        <v>12</v>
      </c>
      <c r="AU20" s="24">
        <f t="shared" si="12"/>
        <v>0</v>
      </c>
      <c r="AV20" s="110"/>
      <c r="AW20" s="25">
        <f>AR20*'School Info'!$E$17/1000</f>
        <v>2.5</v>
      </c>
      <c r="AX20" s="25">
        <f>AS20*'School Info'!$E$17/1000</f>
        <v>0</v>
      </c>
      <c r="AY20" s="25">
        <f>AT20*'School Info'!$E$18/1000</f>
        <v>1.8</v>
      </c>
      <c r="AZ20" s="25">
        <f>AU20*'School Info'!$E$18/1000</f>
        <v>0</v>
      </c>
    </row>
    <row r="21" spans="1:52" ht="23.25" customHeight="1">
      <c r="A21" s="673"/>
      <c r="B21" s="816" t="s">
        <v>108</v>
      </c>
      <c r="C21" s="817"/>
      <c r="D21" s="818"/>
      <c r="E21" s="819" t="s">
        <v>152</v>
      </c>
      <c r="F21" s="820"/>
      <c r="G21" s="821"/>
      <c r="H21" s="797" t="s">
        <v>54</v>
      </c>
      <c r="I21" s="798"/>
      <c r="J21" s="799"/>
      <c r="K21" s="30">
        <f>IF('School Info'!$W$7&gt;0,K20+1,"--")</f>
        <v>15</v>
      </c>
      <c r="L21" s="9">
        <f t="shared" si="13"/>
        <v>45976</v>
      </c>
      <c r="M21" s="8" t="str">
        <f t="shared" si="2"/>
        <v>Saturday</v>
      </c>
      <c r="N21" s="64" t="str">
        <f t="shared" si="0"/>
        <v>खुला</v>
      </c>
      <c r="O21" s="63" t="str">
        <f t="shared" si="1"/>
        <v>Saturday</v>
      </c>
      <c r="P21" s="71" t="str">
        <f t="shared" si="3"/>
        <v>रोटी -दाल, सब्जी</v>
      </c>
      <c r="Q21" s="134" t="str">
        <f t="shared" si="4"/>
        <v>W</v>
      </c>
      <c r="R21" s="140">
        <f>IF('School Info'!$W$7&gt;=K21,R20,"---")</f>
        <v>145</v>
      </c>
      <c r="S21" s="141">
        <f>IF('School Info'!$W$7&gt;=K21,S20,"---")</f>
        <v>200</v>
      </c>
      <c r="T21" s="141">
        <f t="shared" si="5"/>
        <v>345</v>
      </c>
      <c r="U21" s="141">
        <f>IF('School Info'!$W$7&gt;=K21,U20,"---")</f>
        <v>135</v>
      </c>
      <c r="V21" s="141">
        <f>IF('School Info'!$W$7&gt;=K21,V20,"---")</f>
        <v>168</v>
      </c>
      <c r="W21" s="137">
        <f t="shared" si="6"/>
        <v>303</v>
      </c>
      <c r="X21" s="149">
        <v>10</v>
      </c>
      <c r="Y21" s="150">
        <v>15</v>
      </c>
      <c r="Z21" s="138">
        <f t="shared" si="7"/>
        <v>25</v>
      </c>
      <c r="AA21" s="150">
        <v>5</v>
      </c>
      <c r="AB21" s="150">
        <v>7</v>
      </c>
      <c r="AC21" s="139">
        <f t="shared" si="8"/>
        <v>12</v>
      </c>
      <c r="AD21" s="510"/>
      <c r="AE21" s="511"/>
      <c r="AF21" s="510"/>
      <c r="AG21" s="511"/>
      <c r="AH21" s="510"/>
      <c r="AI21" s="511"/>
      <c r="AJ21" s="510"/>
      <c r="AK21" s="511"/>
      <c r="AL21" s="873"/>
      <c r="AM21" s="873"/>
      <c r="AN21" s="873"/>
      <c r="AO21" s="874"/>
      <c r="AP21" s="808"/>
      <c r="AQ21" s="110" t="s">
        <v>88</v>
      </c>
      <c r="AR21" s="24">
        <f t="shared" si="9"/>
        <v>25</v>
      </c>
      <c r="AS21" s="24">
        <f t="shared" si="10"/>
        <v>0</v>
      </c>
      <c r="AT21" s="24">
        <f t="shared" si="11"/>
        <v>12</v>
      </c>
      <c r="AU21" s="24">
        <f t="shared" si="12"/>
        <v>0</v>
      </c>
      <c r="AV21" s="110"/>
      <c r="AW21" s="25">
        <f>AR21*'School Info'!$E$17/1000</f>
        <v>2.5</v>
      </c>
      <c r="AX21" s="25">
        <f>AS21*'School Info'!$E$17/1000</f>
        <v>0</v>
      </c>
      <c r="AY21" s="25">
        <f>AT21*'School Info'!$E$18/1000</f>
        <v>1.8</v>
      </c>
      <c r="AZ21" s="25">
        <f>AU21*'School Info'!$E$18/1000</f>
        <v>0</v>
      </c>
    </row>
    <row r="22" spans="1:52" ht="23.25" customHeight="1">
      <c r="A22" s="673"/>
      <c r="B22" s="816" t="s">
        <v>109</v>
      </c>
      <c r="C22" s="817"/>
      <c r="D22" s="818"/>
      <c r="E22" s="819" t="s">
        <v>481</v>
      </c>
      <c r="F22" s="820"/>
      <c r="G22" s="821"/>
      <c r="H22" s="797" t="s">
        <v>54</v>
      </c>
      <c r="I22" s="798"/>
      <c r="J22" s="799"/>
      <c r="K22" s="30">
        <f>IF('School Info'!$W$7&gt;0,K21+1,"--")</f>
        <v>16</v>
      </c>
      <c r="L22" s="9">
        <f>L21+1</f>
        <v>45977</v>
      </c>
      <c r="M22" s="8" t="str">
        <f t="shared" si="2"/>
        <v>Sunday</v>
      </c>
      <c r="N22" s="64" t="str">
        <f t="shared" si="0"/>
        <v>रवि॰अव॰</v>
      </c>
      <c r="O22" s="63" t="str">
        <f t="shared" si="1"/>
        <v>Holiday</v>
      </c>
      <c r="P22" s="71">
        <f t="shared" si="3"/>
        <v>0</v>
      </c>
      <c r="Q22" s="134" t="str">
        <f t="shared" si="4"/>
        <v>---</v>
      </c>
      <c r="R22" s="140">
        <f>IF('School Info'!$W$7&gt;=K22,R21,"---")</f>
        <v>145</v>
      </c>
      <c r="S22" s="141">
        <f>IF('School Info'!$W$7&gt;=K22,S21,"---")</f>
        <v>200</v>
      </c>
      <c r="T22" s="141">
        <f t="shared" si="5"/>
        <v>345</v>
      </c>
      <c r="U22" s="141">
        <f>IF('School Info'!$W$7&gt;=K22,U21,"---")</f>
        <v>135</v>
      </c>
      <c r="V22" s="141">
        <f>IF('School Info'!$W$7&gt;=K22,V21,"---")</f>
        <v>168</v>
      </c>
      <c r="W22" s="137">
        <f t="shared" si="6"/>
        <v>303</v>
      </c>
      <c r="X22" s="149">
        <v>0</v>
      </c>
      <c r="Y22" s="150">
        <v>0</v>
      </c>
      <c r="Z22" s="138">
        <f t="shared" si="7"/>
        <v>0</v>
      </c>
      <c r="AA22" s="150">
        <v>0</v>
      </c>
      <c r="AB22" s="150">
        <v>0</v>
      </c>
      <c r="AC22" s="139">
        <f t="shared" si="8"/>
        <v>0</v>
      </c>
      <c r="AD22" s="510"/>
      <c r="AE22" s="511"/>
      <c r="AF22" s="510"/>
      <c r="AG22" s="511"/>
      <c r="AH22" s="510"/>
      <c r="AI22" s="511"/>
      <c r="AJ22" s="510"/>
      <c r="AK22" s="511"/>
      <c r="AL22" s="873"/>
      <c r="AM22" s="873"/>
      <c r="AN22" s="873"/>
      <c r="AO22" s="874"/>
      <c r="AP22" s="808"/>
      <c r="AQ22" s="110" t="s">
        <v>89</v>
      </c>
      <c r="AR22" s="24">
        <f t="shared" si="9"/>
        <v>0</v>
      </c>
      <c r="AS22" s="24">
        <f t="shared" si="10"/>
        <v>0</v>
      </c>
      <c r="AT22" s="24">
        <f t="shared" si="11"/>
        <v>0</v>
      </c>
      <c r="AU22" s="24">
        <f t="shared" si="12"/>
        <v>0</v>
      </c>
      <c r="AV22" s="110"/>
      <c r="AW22" s="25">
        <f>AR22*'School Info'!$E$17/1000</f>
        <v>0</v>
      </c>
      <c r="AX22" s="25">
        <f>AS22*'School Info'!$E$17/1000</f>
        <v>0</v>
      </c>
      <c r="AY22" s="25">
        <f>AT22*'School Info'!$E$18/1000</f>
        <v>0</v>
      </c>
      <c r="AZ22" s="25">
        <f>AU22*'School Info'!$E$18/1000</f>
        <v>0</v>
      </c>
    </row>
    <row r="23" spans="1:52" ht="23.25" customHeight="1">
      <c r="A23" s="673"/>
      <c r="B23" s="816" t="s">
        <v>110</v>
      </c>
      <c r="C23" s="817"/>
      <c r="D23" s="818"/>
      <c r="E23" s="819" t="s">
        <v>469</v>
      </c>
      <c r="F23" s="820"/>
      <c r="G23" s="821"/>
      <c r="H23" s="797" t="s">
        <v>54</v>
      </c>
      <c r="I23" s="798"/>
      <c r="J23" s="799"/>
      <c r="K23" s="30">
        <f>IF('School Info'!$W$7&gt;0,K22+1,"--")</f>
        <v>17</v>
      </c>
      <c r="L23" s="9">
        <f t="shared" si="13"/>
        <v>45978</v>
      </c>
      <c r="M23" s="8" t="str">
        <f t="shared" si="2"/>
        <v>Monday</v>
      </c>
      <c r="N23" s="64" t="str">
        <f t="shared" si="0"/>
        <v>खुला</v>
      </c>
      <c r="O23" s="63" t="str">
        <f t="shared" si="1"/>
        <v>Monday</v>
      </c>
      <c r="P23" s="71" t="str">
        <f t="shared" si="3"/>
        <v>रोटी -दाल, सब्जी</v>
      </c>
      <c r="Q23" s="134" t="str">
        <f t="shared" si="4"/>
        <v>W</v>
      </c>
      <c r="R23" s="140">
        <f>IF('School Info'!$W$7&gt;=K23,R22,"---")</f>
        <v>145</v>
      </c>
      <c r="S23" s="141">
        <f>IF('School Info'!$W$7&gt;=K23,S22,"---")</f>
        <v>200</v>
      </c>
      <c r="T23" s="141">
        <f t="shared" si="5"/>
        <v>345</v>
      </c>
      <c r="U23" s="141">
        <f>IF('School Info'!$W$7&gt;=K23,U22,"---")</f>
        <v>135</v>
      </c>
      <c r="V23" s="141">
        <f>IF('School Info'!$W$7&gt;=K23,V22,"---")</f>
        <v>168</v>
      </c>
      <c r="W23" s="137">
        <f t="shared" si="6"/>
        <v>303</v>
      </c>
      <c r="X23" s="149">
        <v>10</v>
      </c>
      <c r="Y23" s="150">
        <v>15</v>
      </c>
      <c r="Z23" s="138">
        <f t="shared" si="7"/>
        <v>25</v>
      </c>
      <c r="AA23" s="150">
        <v>5</v>
      </c>
      <c r="AB23" s="150">
        <v>7</v>
      </c>
      <c r="AC23" s="139">
        <f t="shared" si="8"/>
        <v>12</v>
      </c>
      <c r="AD23" s="510"/>
      <c r="AE23" s="511"/>
      <c r="AF23" s="510"/>
      <c r="AG23" s="511"/>
      <c r="AH23" s="510"/>
      <c r="AI23" s="511"/>
      <c r="AJ23" s="510"/>
      <c r="AK23" s="511"/>
      <c r="AL23" s="873"/>
      <c r="AM23" s="873"/>
      <c r="AN23" s="873"/>
      <c r="AO23" s="874"/>
      <c r="AP23" s="808"/>
      <c r="AQ23" s="110" t="s">
        <v>90</v>
      </c>
      <c r="AR23" s="24">
        <f t="shared" si="9"/>
        <v>25</v>
      </c>
      <c r="AS23" s="24">
        <f t="shared" si="10"/>
        <v>0</v>
      </c>
      <c r="AT23" s="24">
        <f t="shared" si="11"/>
        <v>12</v>
      </c>
      <c r="AU23" s="24">
        <f t="shared" si="12"/>
        <v>0</v>
      </c>
      <c r="AV23" s="110"/>
      <c r="AW23" s="25">
        <f>AR23*'School Info'!$E$17/1000</f>
        <v>2.5</v>
      </c>
      <c r="AX23" s="25">
        <f>AS23*'School Info'!$E$17/1000</f>
        <v>0</v>
      </c>
      <c r="AY23" s="25">
        <f>AT23*'School Info'!$E$18/1000</f>
        <v>1.8</v>
      </c>
      <c r="AZ23" s="25">
        <f>AU23*'School Info'!$E$18/1000</f>
        <v>0</v>
      </c>
    </row>
    <row r="24" spans="1:52" ht="23.25" customHeight="1">
      <c r="A24" s="673"/>
      <c r="B24" s="816" t="s">
        <v>111</v>
      </c>
      <c r="C24" s="817"/>
      <c r="D24" s="818"/>
      <c r="E24" s="819" t="s">
        <v>481</v>
      </c>
      <c r="F24" s="820"/>
      <c r="G24" s="821"/>
      <c r="H24" s="797" t="s">
        <v>54</v>
      </c>
      <c r="I24" s="798"/>
      <c r="J24" s="799"/>
      <c r="K24" s="30">
        <f>IF('School Info'!$W$7&gt;0,K23+1,"--")</f>
        <v>18</v>
      </c>
      <c r="L24" s="9">
        <f t="shared" si="13"/>
        <v>45979</v>
      </c>
      <c r="M24" s="8" t="str">
        <f t="shared" si="2"/>
        <v>Tuesday</v>
      </c>
      <c r="N24" s="64" t="str">
        <f t="shared" si="0"/>
        <v>खुला</v>
      </c>
      <c r="O24" s="63" t="str">
        <f t="shared" si="1"/>
        <v>Tuesday</v>
      </c>
      <c r="P24" s="71" t="str">
        <f t="shared" si="3"/>
        <v>चावल एवं दाल/सब्जी</v>
      </c>
      <c r="Q24" s="134" t="str">
        <f t="shared" si="4"/>
        <v>R</v>
      </c>
      <c r="R24" s="140">
        <f>IF('School Info'!$W$7&gt;=K24,R23,"---")</f>
        <v>145</v>
      </c>
      <c r="S24" s="141">
        <f>IF('School Info'!$W$7&gt;=K24,S23,"---")</f>
        <v>200</v>
      </c>
      <c r="T24" s="141">
        <f t="shared" si="5"/>
        <v>345</v>
      </c>
      <c r="U24" s="141">
        <f>IF('School Info'!$W$7&gt;=K24,U23,"---")</f>
        <v>135</v>
      </c>
      <c r="V24" s="141">
        <f>IF('School Info'!$W$7&gt;=K24,V23,"---")</f>
        <v>168</v>
      </c>
      <c r="W24" s="137">
        <f t="shared" si="6"/>
        <v>303</v>
      </c>
      <c r="X24" s="149">
        <v>10</v>
      </c>
      <c r="Y24" s="150">
        <v>15</v>
      </c>
      <c r="Z24" s="138">
        <f t="shared" si="7"/>
        <v>25</v>
      </c>
      <c r="AA24" s="150">
        <v>5</v>
      </c>
      <c r="AB24" s="150">
        <v>7</v>
      </c>
      <c r="AC24" s="139">
        <f t="shared" si="8"/>
        <v>12</v>
      </c>
      <c r="AD24" s="510"/>
      <c r="AE24" s="511"/>
      <c r="AF24" s="510"/>
      <c r="AG24" s="511"/>
      <c r="AH24" s="510"/>
      <c r="AI24" s="511"/>
      <c r="AJ24" s="510"/>
      <c r="AK24" s="511"/>
      <c r="AL24" s="873"/>
      <c r="AM24" s="873"/>
      <c r="AN24" s="873"/>
      <c r="AO24" s="874"/>
      <c r="AP24" s="808"/>
      <c r="AQ24" s="110" t="s">
        <v>92</v>
      </c>
      <c r="AR24" s="24">
        <f t="shared" si="9"/>
        <v>0</v>
      </c>
      <c r="AS24" s="24">
        <f t="shared" si="10"/>
        <v>25</v>
      </c>
      <c r="AT24" s="24">
        <f t="shared" si="11"/>
        <v>0</v>
      </c>
      <c r="AU24" s="24">
        <f t="shared" si="12"/>
        <v>12</v>
      </c>
      <c r="AV24" s="110"/>
      <c r="AW24" s="25">
        <f>AR24*'School Info'!$E$17/1000</f>
        <v>0</v>
      </c>
      <c r="AX24" s="25">
        <f>AS24*'School Info'!$E$17/1000</f>
        <v>2.5</v>
      </c>
      <c r="AY24" s="25">
        <f>AT24*'School Info'!$E$18/1000</f>
        <v>0</v>
      </c>
      <c r="AZ24" s="25">
        <f>AU24*'School Info'!$E$18/1000</f>
        <v>1.8</v>
      </c>
    </row>
    <row r="25" spans="1:52" ht="23.25" customHeight="1" thickBot="1">
      <c r="A25" s="673"/>
      <c r="B25" s="791" t="s">
        <v>112</v>
      </c>
      <c r="C25" s="792"/>
      <c r="D25" s="793"/>
      <c r="E25" s="794" t="s">
        <v>481</v>
      </c>
      <c r="F25" s="795"/>
      <c r="G25" s="796"/>
      <c r="H25" s="797" t="s">
        <v>54</v>
      </c>
      <c r="I25" s="798"/>
      <c r="J25" s="799"/>
      <c r="K25" s="30">
        <f>IF('School Info'!$W$7&gt;0,K24+1,"--")</f>
        <v>19</v>
      </c>
      <c r="L25" s="9">
        <f t="shared" si="13"/>
        <v>45980</v>
      </c>
      <c r="M25" s="8" t="str">
        <f t="shared" si="2"/>
        <v>Wednesday</v>
      </c>
      <c r="N25" s="64" t="str">
        <f t="shared" si="0"/>
        <v>खुला</v>
      </c>
      <c r="O25" s="63" t="str">
        <f t="shared" si="1"/>
        <v>Wednesday</v>
      </c>
      <c r="P25" s="71" t="str">
        <f t="shared" si="3"/>
        <v>रोटी -दाल, सब्जी</v>
      </c>
      <c r="Q25" s="134" t="str">
        <f t="shared" si="4"/>
        <v>W</v>
      </c>
      <c r="R25" s="140">
        <f>IF('School Info'!$W$7&gt;=K25,R24,"---")</f>
        <v>145</v>
      </c>
      <c r="S25" s="141">
        <f>IF('School Info'!$W$7&gt;=K25,S24,"---")</f>
        <v>200</v>
      </c>
      <c r="T25" s="141">
        <f t="shared" si="5"/>
        <v>345</v>
      </c>
      <c r="U25" s="141">
        <f>IF('School Info'!$W$7&gt;=K25,U24,"---")</f>
        <v>135</v>
      </c>
      <c r="V25" s="141">
        <f>IF('School Info'!$W$7&gt;=K25,V24,"---")</f>
        <v>168</v>
      </c>
      <c r="W25" s="137">
        <f t="shared" si="6"/>
        <v>303</v>
      </c>
      <c r="X25" s="149">
        <v>10</v>
      </c>
      <c r="Y25" s="150">
        <v>15</v>
      </c>
      <c r="Z25" s="138">
        <f t="shared" si="7"/>
        <v>25</v>
      </c>
      <c r="AA25" s="150">
        <v>5</v>
      </c>
      <c r="AB25" s="150">
        <v>7</v>
      </c>
      <c r="AC25" s="139">
        <f t="shared" si="8"/>
        <v>12</v>
      </c>
      <c r="AD25" s="510"/>
      <c r="AE25" s="511"/>
      <c r="AF25" s="510"/>
      <c r="AG25" s="511"/>
      <c r="AH25" s="510"/>
      <c r="AI25" s="511"/>
      <c r="AJ25" s="510"/>
      <c r="AK25" s="511"/>
      <c r="AL25" s="873"/>
      <c r="AM25" s="873"/>
      <c r="AN25" s="873"/>
      <c r="AO25" s="874"/>
      <c r="AP25" s="808"/>
      <c r="AQ25" s="110" t="s">
        <v>91</v>
      </c>
      <c r="AR25" s="24">
        <f t="shared" si="9"/>
        <v>25</v>
      </c>
      <c r="AS25" s="24">
        <f t="shared" si="10"/>
        <v>0</v>
      </c>
      <c r="AT25" s="24">
        <f t="shared" si="11"/>
        <v>12</v>
      </c>
      <c r="AU25" s="24">
        <f t="shared" si="12"/>
        <v>0</v>
      </c>
      <c r="AV25" s="110"/>
      <c r="AW25" s="25">
        <f>AR25*'School Info'!$E$17/1000</f>
        <v>2.5</v>
      </c>
      <c r="AX25" s="25">
        <f>AS25*'School Info'!$E$17/1000</f>
        <v>0</v>
      </c>
      <c r="AY25" s="25">
        <f>AT25*'School Info'!$E$18/1000</f>
        <v>1.8</v>
      </c>
      <c r="AZ25" s="25">
        <f>AU25*'School Info'!$E$18/1000</f>
        <v>0</v>
      </c>
    </row>
    <row r="26" spans="1:52" ht="23.25" customHeight="1" thickBot="1">
      <c r="A26" s="673"/>
      <c r="B26" s="777" t="s">
        <v>483</v>
      </c>
      <c r="C26" s="778"/>
      <c r="D26" s="778"/>
      <c r="E26" s="778"/>
      <c r="F26" s="778"/>
      <c r="G26" s="778"/>
      <c r="H26" s="778"/>
      <c r="I26" s="778"/>
      <c r="J26" s="779"/>
      <c r="K26" s="30">
        <f>IF('School Info'!$W$7&gt;0,K25+1,"--")</f>
        <v>20</v>
      </c>
      <c r="L26" s="9">
        <f t="shared" si="13"/>
        <v>45981</v>
      </c>
      <c r="M26" s="8" t="str">
        <f t="shared" si="2"/>
        <v>Thursday</v>
      </c>
      <c r="N26" s="64" t="str">
        <f t="shared" si="0"/>
        <v>खुला</v>
      </c>
      <c r="O26" s="63" t="str">
        <f t="shared" si="1"/>
        <v>Thursday</v>
      </c>
      <c r="P26" s="71" t="str">
        <f t="shared" si="3"/>
        <v>खिचडी  (दाल,चावल,सब्जी आदि युक्त)</v>
      </c>
      <c r="Q26" s="134" t="str">
        <f t="shared" si="4"/>
        <v>R</v>
      </c>
      <c r="R26" s="140">
        <f>IF('School Info'!$W$7&gt;=K26,R25,"---")</f>
        <v>145</v>
      </c>
      <c r="S26" s="141">
        <f>IF('School Info'!$W$7&gt;=K26,S25,"---")</f>
        <v>200</v>
      </c>
      <c r="T26" s="141">
        <f t="shared" si="5"/>
        <v>345</v>
      </c>
      <c r="U26" s="141">
        <f>IF('School Info'!$W$7&gt;=K26,U25,"---")</f>
        <v>135</v>
      </c>
      <c r="V26" s="141">
        <f>IF('School Info'!$W$7&gt;=K26,V25,"---")</f>
        <v>168</v>
      </c>
      <c r="W26" s="137">
        <f t="shared" si="6"/>
        <v>303</v>
      </c>
      <c r="X26" s="149">
        <v>10</v>
      </c>
      <c r="Y26" s="150">
        <v>15</v>
      </c>
      <c r="Z26" s="138">
        <f t="shared" si="7"/>
        <v>25</v>
      </c>
      <c r="AA26" s="150">
        <v>5</v>
      </c>
      <c r="AB26" s="150">
        <v>7</v>
      </c>
      <c r="AC26" s="139">
        <f t="shared" si="8"/>
        <v>12</v>
      </c>
      <c r="AD26" s="510"/>
      <c r="AE26" s="511"/>
      <c r="AF26" s="510"/>
      <c r="AG26" s="511"/>
      <c r="AH26" s="510"/>
      <c r="AI26" s="511"/>
      <c r="AJ26" s="510"/>
      <c r="AK26" s="511"/>
      <c r="AL26" s="873"/>
      <c r="AM26" s="873"/>
      <c r="AN26" s="873"/>
      <c r="AO26" s="874"/>
      <c r="AP26" s="808"/>
      <c r="AQ26" s="110" t="s">
        <v>93</v>
      </c>
      <c r="AR26" s="24">
        <f t="shared" si="9"/>
        <v>0</v>
      </c>
      <c r="AS26" s="24">
        <f t="shared" si="10"/>
        <v>25</v>
      </c>
      <c r="AT26" s="24">
        <f t="shared" si="11"/>
        <v>0</v>
      </c>
      <c r="AU26" s="24">
        <f t="shared" si="12"/>
        <v>12</v>
      </c>
      <c r="AV26" s="110"/>
      <c r="AW26" s="25">
        <f>AR26*'School Info'!$E$17/1000</f>
        <v>0</v>
      </c>
      <c r="AX26" s="25">
        <f>AS26*'School Info'!$E$17/1000</f>
        <v>2.5</v>
      </c>
      <c r="AY26" s="25">
        <f>AT26*'School Info'!$E$18/1000</f>
        <v>0</v>
      </c>
      <c r="AZ26" s="25">
        <f>AU26*'School Info'!$E$18/1000</f>
        <v>1.8</v>
      </c>
    </row>
    <row r="27" spans="1:52" ht="23.25" customHeight="1" thickBot="1">
      <c r="A27" s="673"/>
      <c r="B27" s="785" t="s">
        <v>487</v>
      </c>
      <c r="C27" s="786"/>
      <c r="D27" s="786"/>
      <c r="E27" s="806">
        <v>0</v>
      </c>
      <c r="F27" s="786"/>
      <c r="G27" s="786"/>
      <c r="H27" s="807"/>
      <c r="I27" s="807"/>
      <c r="J27" s="807"/>
      <c r="K27" s="30">
        <f>IF('School Info'!$W$7&gt;0,K26+1,"--")</f>
        <v>21</v>
      </c>
      <c r="L27" s="9">
        <f t="shared" si="13"/>
        <v>45982</v>
      </c>
      <c r="M27" s="8" t="str">
        <f t="shared" si="2"/>
        <v>Friday</v>
      </c>
      <c r="N27" s="64" t="str">
        <f t="shared" si="0"/>
        <v>खुला</v>
      </c>
      <c r="O27" s="63" t="str">
        <f t="shared" si="1"/>
        <v>Friday</v>
      </c>
      <c r="P27" s="71" t="str">
        <f t="shared" si="3"/>
        <v>रोटी -दाल, सब्जी</v>
      </c>
      <c r="Q27" s="134" t="str">
        <f t="shared" si="4"/>
        <v>W</v>
      </c>
      <c r="R27" s="140">
        <f>IF('School Info'!$W$7&gt;=K27,R26,"---")</f>
        <v>145</v>
      </c>
      <c r="S27" s="141">
        <f>IF('School Info'!$W$7&gt;=K27,S26,"---")</f>
        <v>200</v>
      </c>
      <c r="T27" s="141">
        <f t="shared" si="5"/>
        <v>345</v>
      </c>
      <c r="U27" s="141">
        <f>IF('School Info'!$W$7&gt;=K27,U26,"---")</f>
        <v>135</v>
      </c>
      <c r="V27" s="141">
        <f>IF('School Info'!$W$7&gt;=K27,V26,"---")</f>
        <v>168</v>
      </c>
      <c r="W27" s="137">
        <f t="shared" si="6"/>
        <v>303</v>
      </c>
      <c r="X27" s="149">
        <v>10</v>
      </c>
      <c r="Y27" s="150">
        <v>15</v>
      </c>
      <c r="Z27" s="138">
        <f t="shared" si="7"/>
        <v>25</v>
      </c>
      <c r="AA27" s="150">
        <v>5</v>
      </c>
      <c r="AB27" s="150">
        <v>7</v>
      </c>
      <c r="AC27" s="139">
        <f t="shared" si="8"/>
        <v>12</v>
      </c>
      <c r="AD27" s="510"/>
      <c r="AE27" s="511"/>
      <c r="AF27" s="510"/>
      <c r="AG27" s="511"/>
      <c r="AH27" s="510"/>
      <c r="AI27" s="511"/>
      <c r="AJ27" s="510"/>
      <c r="AK27" s="511"/>
      <c r="AL27" s="873"/>
      <c r="AM27" s="873"/>
      <c r="AN27" s="873"/>
      <c r="AO27" s="874"/>
      <c r="AP27" s="808"/>
      <c r="AQ27" s="110" t="s">
        <v>94</v>
      </c>
      <c r="AR27" s="24">
        <f t="shared" si="9"/>
        <v>25</v>
      </c>
      <c r="AS27" s="24">
        <f t="shared" si="10"/>
        <v>0</v>
      </c>
      <c r="AT27" s="24">
        <f t="shared" si="11"/>
        <v>12</v>
      </c>
      <c r="AU27" s="24">
        <f t="shared" si="12"/>
        <v>0</v>
      </c>
      <c r="AV27" s="110"/>
      <c r="AW27" s="25">
        <f>AR27*'School Info'!$E$17/1000</f>
        <v>2.5</v>
      </c>
      <c r="AX27" s="25">
        <f>AS27*'School Info'!$E$17/1000</f>
        <v>0</v>
      </c>
      <c r="AY27" s="25">
        <f>AT27*'School Info'!$E$18/1000</f>
        <v>1.8</v>
      </c>
      <c r="AZ27" s="25">
        <f>AU27*'School Info'!$E$18/1000</f>
        <v>0</v>
      </c>
    </row>
    <row r="28" spans="1:52" ht="23.25" customHeight="1">
      <c r="A28" s="673"/>
      <c r="B28" s="868" t="s">
        <v>113</v>
      </c>
      <c r="C28" s="786"/>
      <c r="D28" s="786"/>
      <c r="E28" s="806">
        <v>0</v>
      </c>
      <c r="F28" s="786"/>
      <c r="G28" s="786"/>
      <c r="H28" s="28"/>
      <c r="I28" s="28"/>
      <c r="J28" s="28"/>
      <c r="K28" s="30">
        <f>IF('School Info'!$W$7&gt;21,K27+1,"--")</f>
        <v>22</v>
      </c>
      <c r="L28" s="9">
        <f t="shared" si="13"/>
        <v>45983</v>
      </c>
      <c r="M28" s="8" t="str">
        <f t="shared" si="2"/>
        <v>Saturday</v>
      </c>
      <c r="N28" s="64" t="str">
        <f t="shared" si="0"/>
        <v>खुला</v>
      </c>
      <c r="O28" s="63" t="str">
        <f t="shared" si="1"/>
        <v>Saturday</v>
      </c>
      <c r="P28" s="71" t="str">
        <f t="shared" si="3"/>
        <v>रोटी -दाल, सब्जी</v>
      </c>
      <c r="Q28" s="134" t="str">
        <f t="shared" si="4"/>
        <v>W</v>
      </c>
      <c r="R28" s="140">
        <f>IF('School Info'!$W$7&gt;=K28,R27,"---")</f>
        <v>145</v>
      </c>
      <c r="S28" s="141">
        <f>IF('School Info'!$W$7&gt;=K28,S27,"---")</f>
        <v>200</v>
      </c>
      <c r="T28" s="141">
        <f t="shared" si="5"/>
        <v>345</v>
      </c>
      <c r="U28" s="141">
        <f>IF('School Info'!$W$7&gt;=K28,U27,"---")</f>
        <v>135</v>
      </c>
      <c r="V28" s="141">
        <f>IF('School Info'!$W$7&gt;=K28,V27,"---")</f>
        <v>168</v>
      </c>
      <c r="W28" s="137">
        <f t="shared" si="6"/>
        <v>303</v>
      </c>
      <c r="X28" s="149">
        <v>10</v>
      </c>
      <c r="Y28" s="150">
        <v>15</v>
      </c>
      <c r="Z28" s="138">
        <f t="shared" si="7"/>
        <v>25</v>
      </c>
      <c r="AA28" s="150">
        <v>5</v>
      </c>
      <c r="AB28" s="150">
        <v>7</v>
      </c>
      <c r="AC28" s="139">
        <f t="shared" si="8"/>
        <v>12</v>
      </c>
      <c r="AD28" s="510"/>
      <c r="AE28" s="511"/>
      <c r="AF28" s="510"/>
      <c r="AG28" s="511"/>
      <c r="AH28" s="510"/>
      <c r="AI28" s="511"/>
      <c r="AJ28" s="510"/>
      <c r="AK28" s="511"/>
      <c r="AL28" s="873"/>
      <c r="AM28" s="873"/>
      <c r="AN28" s="873"/>
      <c r="AO28" s="874"/>
      <c r="AP28" s="808"/>
      <c r="AQ28" s="110" t="s">
        <v>95</v>
      </c>
      <c r="AR28" s="24">
        <f t="shared" si="9"/>
        <v>25</v>
      </c>
      <c r="AS28" s="24">
        <f t="shared" si="10"/>
        <v>0</v>
      </c>
      <c r="AT28" s="24">
        <f t="shared" si="11"/>
        <v>12</v>
      </c>
      <c r="AU28" s="24">
        <f t="shared" si="12"/>
        <v>0</v>
      </c>
      <c r="AV28" s="110"/>
      <c r="AW28" s="25">
        <f>AR28*'School Info'!$E$17/1000</f>
        <v>2.5</v>
      </c>
      <c r="AX28" s="25">
        <f>AS28*'School Info'!$E$17/1000</f>
        <v>0</v>
      </c>
      <c r="AY28" s="25">
        <f>AT28*'School Info'!$E$18/1000</f>
        <v>1.8</v>
      </c>
      <c r="AZ28" s="25">
        <f>AU28*'School Info'!$E$18/1000</f>
        <v>0</v>
      </c>
    </row>
    <row r="29" spans="1:52" ht="23.25" customHeight="1">
      <c r="A29" s="673"/>
      <c r="B29" s="42"/>
      <c r="C29" s="28"/>
      <c r="D29" s="28"/>
      <c r="E29" s="28"/>
      <c r="F29" s="28"/>
      <c r="G29" s="28"/>
      <c r="H29" s="28"/>
      <c r="I29" s="28"/>
      <c r="J29" s="28"/>
      <c r="K29" s="30">
        <f>IF('School Info'!$W$7&gt;22,K28+1,"--")</f>
        <v>23</v>
      </c>
      <c r="L29" s="9">
        <f t="shared" si="13"/>
        <v>45984</v>
      </c>
      <c r="M29" s="8" t="str">
        <f t="shared" si="2"/>
        <v>Sunday</v>
      </c>
      <c r="N29" s="64" t="str">
        <f t="shared" si="0"/>
        <v>रवि॰अव॰</v>
      </c>
      <c r="O29" s="63" t="str">
        <f t="shared" si="1"/>
        <v>Holiday</v>
      </c>
      <c r="P29" s="71">
        <f t="shared" si="3"/>
        <v>0</v>
      </c>
      <c r="Q29" s="134" t="str">
        <f t="shared" si="4"/>
        <v>---</v>
      </c>
      <c r="R29" s="140">
        <f>IF('School Info'!$W$7&gt;=K29,R28,"---")</f>
        <v>145</v>
      </c>
      <c r="S29" s="141">
        <f>IF('School Info'!$W$7&gt;=K29,S28,"---")</f>
        <v>200</v>
      </c>
      <c r="T29" s="141">
        <f t="shared" si="5"/>
        <v>345</v>
      </c>
      <c r="U29" s="141">
        <f>IF('School Info'!$W$7&gt;=K29,U28,"---")</f>
        <v>135</v>
      </c>
      <c r="V29" s="141">
        <f>IF('School Info'!$W$7&gt;=K29,V28,"---")</f>
        <v>168</v>
      </c>
      <c r="W29" s="137">
        <f t="shared" si="6"/>
        <v>303</v>
      </c>
      <c r="X29" s="149">
        <v>0</v>
      </c>
      <c r="Y29" s="150">
        <v>0</v>
      </c>
      <c r="Z29" s="138">
        <f t="shared" si="7"/>
        <v>0</v>
      </c>
      <c r="AA29" s="150">
        <v>0</v>
      </c>
      <c r="AB29" s="150">
        <v>0</v>
      </c>
      <c r="AC29" s="139">
        <f t="shared" si="8"/>
        <v>0</v>
      </c>
      <c r="AD29" s="510"/>
      <c r="AE29" s="511"/>
      <c r="AF29" s="510"/>
      <c r="AG29" s="511"/>
      <c r="AH29" s="510"/>
      <c r="AI29" s="511"/>
      <c r="AJ29" s="510"/>
      <c r="AK29" s="511"/>
      <c r="AL29" s="873"/>
      <c r="AM29" s="873"/>
      <c r="AN29" s="873"/>
      <c r="AO29" s="874"/>
      <c r="AP29" s="808"/>
      <c r="AQ29" s="110" t="s">
        <v>96</v>
      </c>
      <c r="AR29" s="24">
        <f t="shared" si="9"/>
        <v>0</v>
      </c>
      <c r="AS29" s="24">
        <f t="shared" si="10"/>
        <v>0</v>
      </c>
      <c r="AT29" s="24">
        <f t="shared" si="11"/>
        <v>0</v>
      </c>
      <c r="AU29" s="24">
        <f t="shared" si="12"/>
        <v>0</v>
      </c>
      <c r="AV29" s="110"/>
      <c r="AW29" s="25">
        <f>AR29*'School Info'!$E$17/1000</f>
        <v>0</v>
      </c>
      <c r="AX29" s="25">
        <f>AS29*'School Info'!$E$17/1000</f>
        <v>0</v>
      </c>
      <c r="AY29" s="25">
        <f>AT29*'School Info'!$E$18/1000</f>
        <v>0</v>
      </c>
      <c r="AZ29" s="25">
        <f>AU29*'School Info'!$E$18/1000</f>
        <v>0</v>
      </c>
    </row>
    <row r="30" spans="1:52" ht="23.25" customHeight="1">
      <c r="A30" s="673"/>
      <c r="B30" s="42"/>
      <c r="C30" s="28"/>
      <c r="D30" s="28"/>
      <c r="E30" s="28"/>
      <c r="F30" s="28"/>
      <c r="G30" s="28"/>
      <c r="H30" s="28"/>
      <c r="I30" s="28"/>
      <c r="J30" s="28"/>
      <c r="K30" s="30">
        <f>IF('School Info'!$W$7&gt;23,K29+1,"--")</f>
        <v>24</v>
      </c>
      <c r="L30" s="9">
        <f>L29+1</f>
        <v>45985</v>
      </c>
      <c r="M30" s="8" t="str">
        <f t="shared" si="2"/>
        <v>Monday</v>
      </c>
      <c r="N30" s="64" t="str">
        <f t="shared" si="0"/>
        <v>खुला</v>
      </c>
      <c r="O30" s="63" t="str">
        <f t="shared" si="1"/>
        <v>Monday</v>
      </c>
      <c r="P30" s="71" t="str">
        <f t="shared" si="3"/>
        <v>रोटी -दाल, सब्जी</v>
      </c>
      <c r="Q30" s="134" t="str">
        <f t="shared" si="4"/>
        <v>W</v>
      </c>
      <c r="R30" s="140">
        <f>IF('School Info'!$W$7&gt;=K30,R29,"---")</f>
        <v>145</v>
      </c>
      <c r="S30" s="141">
        <f>IF('School Info'!$W$7&gt;=K30,S29,"---")</f>
        <v>200</v>
      </c>
      <c r="T30" s="141">
        <f t="shared" si="5"/>
        <v>345</v>
      </c>
      <c r="U30" s="141">
        <f>IF('School Info'!$W$7&gt;=K30,U29,"---")</f>
        <v>135</v>
      </c>
      <c r="V30" s="141">
        <f>IF('School Info'!$W$7&gt;=K30,V29,"---")</f>
        <v>168</v>
      </c>
      <c r="W30" s="137">
        <f t="shared" si="6"/>
        <v>303</v>
      </c>
      <c r="X30" s="149">
        <v>10</v>
      </c>
      <c r="Y30" s="150">
        <v>15</v>
      </c>
      <c r="Z30" s="138">
        <f t="shared" si="7"/>
        <v>25</v>
      </c>
      <c r="AA30" s="150">
        <v>5</v>
      </c>
      <c r="AB30" s="150">
        <v>7</v>
      </c>
      <c r="AC30" s="139">
        <f t="shared" si="8"/>
        <v>12</v>
      </c>
      <c r="AD30" s="510"/>
      <c r="AE30" s="511"/>
      <c r="AF30" s="510"/>
      <c r="AG30" s="511"/>
      <c r="AH30" s="510"/>
      <c r="AI30" s="511"/>
      <c r="AJ30" s="510"/>
      <c r="AK30" s="511"/>
      <c r="AL30" s="873"/>
      <c r="AM30" s="873"/>
      <c r="AN30" s="873"/>
      <c r="AO30" s="874"/>
      <c r="AP30" s="808"/>
      <c r="AQ30" s="110" t="s">
        <v>97</v>
      </c>
      <c r="AR30" s="24">
        <f t="shared" si="9"/>
        <v>25</v>
      </c>
      <c r="AS30" s="24">
        <f t="shared" si="10"/>
        <v>0</v>
      </c>
      <c r="AT30" s="24">
        <f t="shared" si="11"/>
        <v>12</v>
      </c>
      <c r="AU30" s="24">
        <f t="shared" si="12"/>
        <v>0</v>
      </c>
      <c r="AV30" s="110"/>
      <c r="AW30" s="25">
        <f>AR30*'School Info'!$E$17/1000</f>
        <v>2.5</v>
      </c>
      <c r="AX30" s="25">
        <f>AS30*'School Info'!$E$17/1000</f>
        <v>0</v>
      </c>
      <c r="AY30" s="25">
        <f>AT30*'School Info'!$E$18/1000</f>
        <v>1.8</v>
      </c>
      <c r="AZ30" s="25">
        <f>AU30*'School Info'!$E$18/1000</f>
        <v>0</v>
      </c>
    </row>
    <row r="31" spans="1:52" ht="23.25" customHeight="1">
      <c r="A31" s="673"/>
      <c r="B31" s="42"/>
      <c r="C31" s="28"/>
      <c r="D31" s="28"/>
      <c r="E31" s="28"/>
      <c r="F31" s="28"/>
      <c r="G31" s="28"/>
      <c r="H31" s="28"/>
      <c r="I31" s="28"/>
      <c r="J31" s="28"/>
      <c r="K31" s="30">
        <f>IF('School Info'!$W$7&gt;24,K30+1,"--")</f>
        <v>25</v>
      </c>
      <c r="L31" s="9">
        <f t="shared" si="13"/>
        <v>45986</v>
      </c>
      <c r="M31" s="8" t="str">
        <f t="shared" si="2"/>
        <v>Tuesday</v>
      </c>
      <c r="N31" s="64" t="str">
        <f t="shared" si="0"/>
        <v>खुला</v>
      </c>
      <c r="O31" s="63" t="str">
        <f t="shared" si="1"/>
        <v>Tuesday</v>
      </c>
      <c r="P31" s="71" t="str">
        <f t="shared" si="3"/>
        <v>चावल एवं दाल/सब्जी</v>
      </c>
      <c r="Q31" s="134" t="str">
        <f t="shared" si="4"/>
        <v>R</v>
      </c>
      <c r="R31" s="140">
        <f>IF('School Info'!$W$7&gt;=K31,R30,"---")</f>
        <v>145</v>
      </c>
      <c r="S31" s="141">
        <f>IF('School Info'!$W$7&gt;=K31,S30,"---")</f>
        <v>200</v>
      </c>
      <c r="T31" s="141">
        <f t="shared" si="5"/>
        <v>345</v>
      </c>
      <c r="U31" s="141">
        <f>IF('School Info'!$W$7&gt;=K31,U30,"---")</f>
        <v>135</v>
      </c>
      <c r="V31" s="141">
        <f>IF('School Info'!$W$7&gt;=K31,V30,"---")</f>
        <v>168</v>
      </c>
      <c r="W31" s="137">
        <f t="shared" si="6"/>
        <v>303</v>
      </c>
      <c r="X31" s="149">
        <v>10</v>
      </c>
      <c r="Y31" s="150">
        <v>15</v>
      </c>
      <c r="Z31" s="138">
        <f t="shared" si="7"/>
        <v>25</v>
      </c>
      <c r="AA31" s="150">
        <v>5</v>
      </c>
      <c r="AB31" s="150">
        <v>7</v>
      </c>
      <c r="AC31" s="139">
        <f t="shared" si="8"/>
        <v>12</v>
      </c>
      <c r="AD31" s="510"/>
      <c r="AE31" s="511"/>
      <c r="AF31" s="510"/>
      <c r="AG31" s="511"/>
      <c r="AH31" s="510"/>
      <c r="AI31" s="511"/>
      <c r="AJ31" s="510"/>
      <c r="AK31" s="511"/>
      <c r="AL31" s="873"/>
      <c r="AM31" s="873"/>
      <c r="AN31" s="873"/>
      <c r="AO31" s="874"/>
      <c r="AP31" s="808"/>
      <c r="AQ31" s="110" t="s">
        <v>98</v>
      </c>
      <c r="AR31" s="24">
        <f t="shared" si="9"/>
        <v>0</v>
      </c>
      <c r="AS31" s="24">
        <f t="shared" si="10"/>
        <v>25</v>
      </c>
      <c r="AT31" s="24">
        <f t="shared" si="11"/>
        <v>0</v>
      </c>
      <c r="AU31" s="24">
        <f t="shared" si="12"/>
        <v>12</v>
      </c>
      <c r="AV31" s="110"/>
      <c r="AW31" s="25">
        <f>AR31*'School Info'!$E$17/1000</f>
        <v>0</v>
      </c>
      <c r="AX31" s="25">
        <f>AS31*'School Info'!$E$17/1000</f>
        <v>2.5</v>
      </c>
      <c r="AY31" s="25">
        <f>AT31*'School Info'!$E$18/1000</f>
        <v>0</v>
      </c>
      <c r="AZ31" s="25">
        <f>AU31*'School Info'!$E$18/1000</f>
        <v>1.8</v>
      </c>
    </row>
    <row r="32" spans="1:52" ht="23.25" customHeight="1">
      <c r="A32" s="673"/>
      <c r="B32" s="42"/>
      <c r="C32" s="28"/>
      <c r="D32" s="28"/>
      <c r="E32" s="28"/>
      <c r="F32" s="28"/>
      <c r="G32" s="28"/>
      <c r="H32" s="28"/>
      <c r="I32" s="28"/>
      <c r="J32" s="28"/>
      <c r="K32" s="30">
        <f>IF('School Info'!$W$7&gt;25,K31+1,"--")</f>
        <v>26</v>
      </c>
      <c r="L32" s="9">
        <f t="shared" si="13"/>
        <v>45987</v>
      </c>
      <c r="M32" s="8" t="str">
        <f t="shared" si="2"/>
        <v>Wednesday</v>
      </c>
      <c r="N32" s="64" t="str">
        <f t="shared" si="0"/>
        <v>खुला</v>
      </c>
      <c r="O32" s="63" t="str">
        <f t="shared" si="1"/>
        <v>Wednesday</v>
      </c>
      <c r="P32" s="71" t="str">
        <f t="shared" si="3"/>
        <v>रोटी -दाल, सब्जी</v>
      </c>
      <c r="Q32" s="134" t="str">
        <f t="shared" si="4"/>
        <v>W</v>
      </c>
      <c r="R32" s="140">
        <f>IF('School Info'!$W$7&gt;=K32,R31,"---")</f>
        <v>145</v>
      </c>
      <c r="S32" s="141">
        <f>IF('School Info'!$W$7&gt;=K32,S31,"---")</f>
        <v>200</v>
      </c>
      <c r="T32" s="141">
        <f t="shared" si="5"/>
        <v>345</v>
      </c>
      <c r="U32" s="141">
        <f>IF('School Info'!$W$7&gt;=K32,U31,"---")</f>
        <v>135</v>
      </c>
      <c r="V32" s="141">
        <f>IF('School Info'!$W$7&gt;=K32,V31,"---")</f>
        <v>168</v>
      </c>
      <c r="W32" s="137">
        <f t="shared" si="6"/>
        <v>303</v>
      </c>
      <c r="X32" s="149">
        <v>10</v>
      </c>
      <c r="Y32" s="150">
        <v>15</v>
      </c>
      <c r="Z32" s="138">
        <f t="shared" si="7"/>
        <v>25</v>
      </c>
      <c r="AA32" s="150">
        <v>5</v>
      </c>
      <c r="AB32" s="150">
        <v>7</v>
      </c>
      <c r="AC32" s="139">
        <f t="shared" si="8"/>
        <v>12</v>
      </c>
      <c r="AD32" s="510"/>
      <c r="AE32" s="511"/>
      <c r="AF32" s="510"/>
      <c r="AG32" s="511"/>
      <c r="AH32" s="510"/>
      <c r="AI32" s="511"/>
      <c r="AJ32" s="510"/>
      <c r="AK32" s="511"/>
      <c r="AL32" s="873"/>
      <c r="AM32" s="873"/>
      <c r="AN32" s="873"/>
      <c r="AO32" s="874"/>
      <c r="AP32" s="808"/>
      <c r="AQ32" s="110" t="s">
        <v>99</v>
      </c>
      <c r="AR32" s="24">
        <f t="shared" si="9"/>
        <v>25</v>
      </c>
      <c r="AS32" s="24">
        <f t="shared" si="10"/>
        <v>0</v>
      </c>
      <c r="AT32" s="24">
        <f t="shared" si="11"/>
        <v>12</v>
      </c>
      <c r="AU32" s="24">
        <f t="shared" si="12"/>
        <v>0</v>
      </c>
      <c r="AV32" s="110"/>
      <c r="AW32" s="25">
        <f>AR32*'School Info'!$E$17/1000</f>
        <v>2.5</v>
      </c>
      <c r="AX32" s="25">
        <f>AS32*'School Info'!$E$17/1000</f>
        <v>0</v>
      </c>
      <c r="AY32" s="25">
        <f>AT32*'School Info'!$E$18/1000</f>
        <v>1.8</v>
      </c>
      <c r="AZ32" s="25">
        <f>AU32*'School Info'!$E$18/1000</f>
        <v>0</v>
      </c>
    </row>
    <row r="33" spans="1:52" ht="23.25" customHeight="1">
      <c r="A33" s="673"/>
      <c r="B33" s="42"/>
      <c r="C33" s="28"/>
      <c r="D33" s="28"/>
      <c r="E33" s="28"/>
      <c r="F33" s="28"/>
      <c r="G33" s="28"/>
      <c r="H33" s="28"/>
      <c r="I33" s="28"/>
      <c r="J33" s="28"/>
      <c r="K33" s="30">
        <f>IF('School Info'!$W$7&gt;26,K32+1,"--")</f>
        <v>27</v>
      </c>
      <c r="L33" s="9">
        <f t="shared" si="13"/>
        <v>45988</v>
      </c>
      <c r="M33" s="8" t="str">
        <f t="shared" si="2"/>
        <v>Thursday</v>
      </c>
      <c r="N33" s="64" t="str">
        <f t="shared" si="0"/>
        <v>खुला</v>
      </c>
      <c r="O33" s="63" t="str">
        <f t="shared" si="1"/>
        <v>Thursday</v>
      </c>
      <c r="P33" s="71" t="str">
        <f t="shared" si="3"/>
        <v>खिचडी  (दाल,चावल,सब्जी आदि युक्त)</v>
      </c>
      <c r="Q33" s="134" t="str">
        <f t="shared" si="4"/>
        <v>R</v>
      </c>
      <c r="R33" s="140">
        <f>IF('School Info'!$W$7&gt;=K33,R32,"---")</f>
        <v>145</v>
      </c>
      <c r="S33" s="141">
        <f>IF('School Info'!$W$7&gt;=K33,S32,"---")</f>
        <v>200</v>
      </c>
      <c r="T33" s="141">
        <f t="shared" si="5"/>
        <v>345</v>
      </c>
      <c r="U33" s="141">
        <f>IF('School Info'!$W$7&gt;=K33,U32,"---")</f>
        <v>135</v>
      </c>
      <c r="V33" s="141">
        <f>IF('School Info'!$W$7&gt;=K33,V32,"---")</f>
        <v>168</v>
      </c>
      <c r="W33" s="137">
        <f t="shared" si="6"/>
        <v>303</v>
      </c>
      <c r="X33" s="149">
        <v>10</v>
      </c>
      <c r="Y33" s="150">
        <v>15</v>
      </c>
      <c r="Z33" s="138">
        <f t="shared" si="7"/>
        <v>25</v>
      </c>
      <c r="AA33" s="150">
        <v>5</v>
      </c>
      <c r="AB33" s="150">
        <v>7</v>
      </c>
      <c r="AC33" s="139">
        <f t="shared" si="8"/>
        <v>12</v>
      </c>
      <c r="AD33" s="510"/>
      <c r="AE33" s="511"/>
      <c r="AF33" s="510"/>
      <c r="AG33" s="511"/>
      <c r="AH33" s="510"/>
      <c r="AI33" s="511"/>
      <c r="AJ33" s="510"/>
      <c r="AK33" s="511"/>
      <c r="AL33" s="873"/>
      <c r="AM33" s="873"/>
      <c r="AN33" s="873"/>
      <c r="AO33" s="874"/>
      <c r="AP33" s="808"/>
      <c r="AQ33" s="110" t="s">
        <v>101</v>
      </c>
      <c r="AR33" s="24">
        <f t="shared" si="9"/>
        <v>0</v>
      </c>
      <c r="AS33" s="24">
        <f t="shared" si="10"/>
        <v>25</v>
      </c>
      <c r="AT33" s="24">
        <f t="shared" si="11"/>
        <v>0</v>
      </c>
      <c r="AU33" s="24">
        <f t="shared" si="12"/>
        <v>12</v>
      </c>
      <c r="AV33" s="110"/>
      <c r="AW33" s="25">
        <f>AR33*'School Info'!$E$17/1000</f>
        <v>0</v>
      </c>
      <c r="AX33" s="25">
        <f>AS33*'School Info'!$E$17/1000</f>
        <v>2.5</v>
      </c>
      <c r="AY33" s="25">
        <f>AT33*'School Info'!$E$18/1000</f>
        <v>0</v>
      </c>
      <c r="AZ33" s="25">
        <f>AU33*'School Info'!$E$18/1000</f>
        <v>1.8</v>
      </c>
    </row>
    <row r="34" spans="1:52" ht="23.25" customHeight="1">
      <c r="A34" s="673"/>
      <c r="B34" s="42"/>
      <c r="C34" s="28"/>
      <c r="D34" s="28"/>
      <c r="E34" s="28"/>
      <c r="F34" s="28"/>
      <c r="G34" s="28"/>
      <c r="H34" s="28"/>
      <c r="I34" s="28"/>
      <c r="J34" s="28"/>
      <c r="K34" s="30">
        <f>IF('School Info'!$W$7&gt;27,K33+1,"--")</f>
        <v>28</v>
      </c>
      <c r="L34" s="9">
        <f>L33+1</f>
        <v>45989</v>
      </c>
      <c r="M34" s="8" t="str">
        <f t="shared" si="2"/>
        <v>Friday</v>
      </c>
      <c r="N34" s="64" t="str">
        <f t="shared" si="0"/>
        <v>खुला</v>
      </c>
      <c r="O34" s="63" t="str">
        <f t="shared" si="1"/>
        <v>Friday</v>
      </c>
      <c r="P34" s="71" t="str">
        <f t="shared" si="3"/>
        <v>रोटी -दाल, सब्जी</v>
      </c>
      <c r="Q34" s="134" t="str">
        <f t="shared" si="4"/>
        <v>W</v>
      </c>
      <c r="R34" s="140">
        <f>IF('School Info'!$W$7&gt;=K34,R33,"---")</f>
        <v>145</v>
      </c>
      <c r="S34" s="141">
        <f>IF('School Info'!$W$7&gt;=K34,S33,"---")</f>
        <v>200</v>
      </c>
      <c r="T34" s="141">
        <f t="shared" si="5"/>
        <v>345</v>
      </c>
      <c r="U34" s="141">
        <f>IF('School Info'!$W$7&gt;=K34,U33,"---")</f>
        <v>135</v>
      </c>
      <c r="V34" s="141">
        <f>IF('School Info'!$W$7&gt;=K34,V33,"---")</f>
        <v>168</v>
      </c>
      <c r="W34" s="137">
        <f t="shared" si="6"/>
        <v>303</v>
      </c>
      <c r="X34" s="149">
        <v>10</v>
      </c>
      <c r="Y34" s="150">
        <v>15</v>
      </c>
      <c r="Z34" s="138">
        <f t="shared" si="7"/>
        <v>25</v>
      </c>
      <c r="AA34" s="150">
        <v>5</v>
      </c>
      <c r="AB34" s="150">
        <v>7</v>
      </c>
      <c r="AC34" s="139">
        <f t="shared" si="8"/>
        <v>12</v>
      </c>
      <c r="AD34" s="510"/>
      <c r="AE34" s="511"/>
      <c r="AF34" s="510"/>
      <c r="AG34" s="511"/>
      <c r="AH34" s="510"/>
      <c r="AI34" s="511"/>
      <c r="AJ34" s="510"/>
      <c r="AK34" s="511"/>
      <c r="AL34" s="873"/>
      <c r="AM34" s="873"/>
      <c r="AN34" s="873"/>
      <c r="AO34" s="874"/>
      <c r="AP34" s="808"/>
      <c r="AQ34" s="110" t="s">
        <v>102</v>
      </c>
      <c r="AR34" s="24">
        <f t="shared" si="9"/>
        <v>25</v>
      </c>
      <c r="AS34" s="24">
        <f t="shared" si="10"/>
        <v>0</v>
      </c>
      <c r="AT34" s="24">
        <f t="shared" si="11"/>
        <v>12</v>
      </c>
      <c r="AU34" s="24">
        <f t="shared" si="12"/>
        <v>0</v>
      </c>
      <c r="AV34" s="110"/>
      <c r="AW34" s="25">
        <f>AR34*'School Info'!$E$17/1000</f>
        <v>2.5</v>
      </c>
      <c r="AX34" s="25">
        <f>AS34*'School Info'!$E$17/1000</f>
        <v>0</v>
      </c>
      <c r="AY34" s="25">
        <f>AT34*'School Info'!$E$18/1000</f>
        <v>1.8</v>
      </c>
      <c r="AZ34" s="25">
        <f>AU34*'School Info'!$E$18/1000</f>
        <v>0</v>
      </c>
    </row>
    <row r="35" spans="1:52" ht="23.25" customHeight="1">
      <c r="A35" s="673"/>
      <c r="B35" s="42"/>
      <c r="C35" s="28"/>
      <c r="D35" s="28"/>
      <c r="E35" s="28"/>
      <c r="F35" s="28"/>
      <c r="G35" s="28"/>
      <c r="H35" s="28"/>
      <c r="I35" s="28"/>
      <c r="J35" s="28"/>
      <c r="K35" s="30">
        <f>IF('School Info'!$W$7&gt;28,K34+1,"--")</f>
        <v>29</v>
      </c>
      <c r="L35" s="9">
        <f>IF('School Info'!W7&gt;28,'Food-Data Entry'!L34+1,"---")</f>
        <v>45990</v>
      </c>
      <c r="M35" s="8" t="str">
        <f t="shared" si="2"/>
        <v>Saturday</v>
      </c>
      <c r="N35" s="64" t="str">
        <f t="shared" si="0"/>
        <v>खुला</v>
      </c>
      <c r="O35" s="63" t="str">
        <f t="shared" si="1"/>
        <v>Saturday</v>
      </c>
      <c r="P35" s="71" t="str">
        <f t="shared" si="3"/>
        <v>रोटी -दाल, सब्जी</v>
      </c>
      <c r="Q35" s="134" t="str">
        <f t="shared" si="4"/>
        <v>W</v>
      </c>
      <c r="R35" s="140">
        <f>IF('School Info'!$W$7&gt;=K35,R34,"---")</f>
        <v>145</v>
      </c>
      <c r="S35" s="141">
        <f>IF('School Info'!$W$7&gt;=K35,S34,"---")</f>
        <v>200</v>
      </c>
      <c r="T35" s="141">
        <f t="shared" si="5"/>
        <v>345</v>
      </c>
      <c r="U35" s="141">
        <f>IF('School Info'!$W$7&gt;=K35,U34,"---")</f>
        <v>135</v>
      </c>
      <c r="V35" s="141">
        <f>IF('School Info'!$W$7&gt;=K35,V34,"---")</f>
        <v>168</v>
      </c>
      <c r="W35" s="137">
        <f t="shared" si="6"/>
        <v>303</v>
      </c>
      <c r="X35" s="149">
        <v>10</v>
      </c>
      <c r="Y35" s="150">
        <v>15</v>
      </c>
      <c r="Z35" s="138">
        <f t="shared" si="7"/>
        <v>25</v>
      </c>
      <c r="AA35" s="150">
        <v>5</v>
      </c>
      <c r="AB35" s="150">
        <v>7</v>
      </c>
      <c r="AC35" s="139">
        <f t="shared" si="8"/>
        <v>12</v>
      </c>
      <c r="AD35" s="510"/>
      <c r="AE35" s="511"/>
      <c r="AF35" s="510"/>
      <c r="AG35" s="511"/>
      <c r="AH35" s="510"/>
      <c r="AI35" s="511"/>
      <c r="AJ35" s="510"/>
      <c r="AK35" s="511"/>
      <c r="AL35" s="873"/>
      <c r="AM35" s="873"/>
      <c r="AN35" s="873"/>
      <c r="AO35" s="874"/>
      <c r="AP35" s="808"/>
      <c r="AQ35" s="110" t="s">
        <v>105</v>
      </c>
      <c r="AR35" s="24">
        <f t="shared" si="9"/>
        <v>25</v>
      </c>
      <c r="AS35" s="24">
        <f t="shared" si="10"/>
        <v>0</v>
      </c>
      <c r="AT35" s="24">
        <f t="shared" si="11"/>
        <v>12</v>
      </c>
      <c r="AU35" s="24">
        <f t="shared" si="12"/>
        <v>0</v>
      </c>
      <c r="AV35" s="110"/>
      <c r="AW35" s="25">
        <f>AR35*'School Info'!$E$17/1000</f>
        <v>2.5</v>
      </c>
      <c r="AX35" s="25">
        <f>AS35*'School Info'!$E$17/1000</f>
        <v>0</v>
      </c>
      <c r="AY35" s="25">
        <f>AT35*'School Info'!$E$18/1000</f>
        <v>1.8</v>
      </c>
      <c r="AZ35" s="25">
        <f>AU35*'School Info'!$E$18/1000</f>
        <v>0</v>
      </c>
    </row>
    <row r="36" spans="1:52" ht="23.25" customHeight="1">
      <c r="A36" s="673"/>
      <c r="B36" s="42"/>
      <c r="C36" s="28"/>
      <c r="D36" s="28"/>
      <c r="E36" s="28"/>
      <c r="F36" s="28"/>
      <c r="G36" s="28"/>
      <c r="H36" s="28"/>
      <c r="I36" s="28"/>
      <c r="J36" s="28"/>
      <c r="K36" s="30">
        <f>IF('School Info'!$W$7&gt;29,K35+1,"--")</f>
        <v>30</v>
      </c>
      <c r="L36" s="9">
        <f>IF('School Info'!W7&gt;29,'Food-Data Entry'!L35+1,"---")</f>
        <v>45991</v>
      </c>
      <c r="M36" s="8" t="str">
        <f t="shared" si="2"/>
        <v>Sunday</v>
      </c>
      <c r="N36" s="64" t="str">
        <f t="shared" si="0"/>
        <v>रवि॰अव॰</v>
      </c>
      <c r="O36" s="63" t="str">
        <f t="shared" si="1"/>
        <v>Holiday</v>
      </c>
      <c r="P36" s="71">
        <f t="shared" si="3"/>
        <v>0</v>
      </c>
      <c r="Q36" s="134" t="str">
        <f t="shared" si="4"/>
        <v>---</v>
      </c>
      <c r="R36" s="140">
        <f>IF('School Info'!$W$7&gt;=K36,R35,"---")</f>
        <v>145</v>
      </c>
      <c r="S36" s="141">
        <f>IF('School Info'!$W$7&gt;=K36,S35,"---")</f>
        <v>200</v>
      </c>
      <c r="T36" s="141">
        <f t="shared" si="5"/>
        <v>345</v>
      </c>
      <c r="U36" s="141">
        <f>IF('School Info'!$W$7&gt;=K36,U35,"---")</f>
        <v>135</v>
      </c>
      <c r="V36" s="141">
        <f>IF('School Info'!$W$7&gt;=K36,V35,"---")</f>
        <v>168</v>
      </c>
      <c r="W36" s="137">
        <f t="shared" si="6"/>
        <v>303</v>
      </c>
      <c r="X36" s="149">
        <v>0</v>
      </c>
      <c r="Y36" s="150">
        <v>0</v>
      </c>
      <c r="Z36" s="138">
        <f t="shared" si="7"/>
        <v>0</v>
      </c>
      <c r="AA36" s="150">
        <v>0</v>
      </c>
      <c r="AB36" s="150">
        <v>0</v>
      </c>
      <c r="AC36" s="139">
        <f t="shared" si="8"/>
        <v>0</v>
      </c>
      <c r="AD36" s="510"/>
      <c r="AE36" s="511"/>
      <c r="AF36" s="510"/>
      <c r="AG36" s="511"/>
      <c r="AH36" s="510"/>
      <c r="AI36" s="511"/>
      <c r="AJ36" s="510"/>
      <c r="AK36" s="511"/>
      <c r="AL36" s="873"/>
      <c r="AM36" s="873"/>
      <c r="AN36" s="873"/>
      <c r="AO36" s="874"/>
      <c r="AP36" s="808"/>
      <c r="AQ36" s="110"/>
      <c r="AR36" s="24">
        <f t="shared" si="9"/>
        <v>0</v>
      </c>
      <c r="AS36" s="24">
        <f t="shared" si="10"/>
        <v>0</v>
      </c>
      <c r="AT36" s="24">
        <f t="shared" si="11"/>
        <v>0</v>
      </c>
      <c r="AU36" s="24">
        <f t="shared" si="12"/>
        <v>0</v>
      </c>
      <c r="AV36" s="110"/>
      <c r="AW36" s="25">
        <f>AR36*'School Info'!$E$17/1000</f>
        <v>0</v>
      </c>
      <c r="AX36" s="25">
        <f>AS36*'School Info'!$E$17/1000</f>
        <v>0</v>
      </c>
      <c r="AY36" s="25">
        <f>AT36*'School Info'!$E$18/1000</f>
        <v>0</v>
      </c>
      <c r="AZ36" s="25">
        <f>AU36*'School Info'!$E$18/1000</f>
        <v>0</v>
      </c>
    </row>
    <row r="37" spans="1:52" ht="23.25" customHeight="1" thickBot="1">
      <c r="A37" s="673"/>
      <c r="B37" s="42"/>
      <c r="C37" s="28"/>
      <c r="D37" s="28"/>
      <c r="E37" s="28"/>
      <c r="F37" s="28"/>
      <c r="G37" s="28"/>
      <c r="H37" s="28"/>
      <c r="I37" s="28"/>
      <c r="J37" s="28"/>
      <c r="K37" s="86" t="str">
        <f>IF('School Info'!$W$7&gt;30,K36+1,"--")</f>
        <v>--</v>
      </c>
      <c r="L37" s="87" t="str">
        <f>IF('School Info'!W7&gt;30,'Food-Data Entry'!L36+1,"---")</f>
        <v>---</v>
      </c>
      <c r="M37" s="88" t="str">
        <f t="shared" si="2"/>
        <v>---</v>
      </c>
      <c r="N37" s="64" t="str">
        <f t="shared" si="0"/>
        <v>---</v>
      </c>
      <c r="O37" s="89" t="str">
        <f t="shared" si="1"/>
        <v>---</v>
      </c>
      <c r="P37" s="71">
        <f t="shared" si="3"/>
        <v>0</v>
      </c>
      <c r="Q37" s="134" t="str">
        <f t="shared" si="4"/>
        <v>---</v>
      </c>
      <c r="R37" s="144" t="str">
        <f>IF('School Info'!$W$7&gt;=K37,R36,"---")</f>
        <v>---</v>
      </c>
      <c r="S37" s="145" t="str">
        <f>IF('School Info'!$W$7&gt;=K37,S36,"---")</f>
        <v>---</v>
      </c>
      <c r="T37" s="145">
        <f t="shared" si="5"/>
        <v>0</v>
      </c>
      <c r="U37" s="145" t="str">
        <f>IF('School Info'!$W$7&gt;=K37,U36,"---")</f>
        <v>---</v>
      </c>
      <c r="V37" s="145" t="str">
        <f>IF('School Info'!$W$7&gt;=K37,V36,"---")</f>
        <v>---</v>
      </c>
      <c r="W37" s="146">
        <f t="shared" si="6"/>
        <v>0</v>
      </c>
      <c r="X37" s="151">
        <v>10</v>
      </c>
      <c r="Y37" s="152">
        <v>15</v>
      </c>
      <c r="Z37" s="138">
        <f t="shared" si="7"/>
        <v>25</v>
      </c>
      <c r="AA37" s="152">
        <v>5</v>
      </c>
      <c r="AB37" s="152">
        <v>7</v>
      </c>
      <c r="AC37" s="139">
        <f t="shared" si="8"/>
        <v>12</v>
      </c>
      <c r="AD37" s="512"/>
      <c r="AE37" s="513"/>
      <c r="AF37" s="512"/>
      <c r="AG37" s="513"/>
      <c r="AH37" s="512"/>
      <c r="AI37" s="513"/>
      <c r="AJ37" s="512"/>
      <c r="AK37" s="513"/>
      <c r="AL37" s="873"/>
      <c r="AM37" s="873"/>
      <c r="AN37" s="873"/>
      <c r="AO37" s="874"/>
      <c r="AP37" s="808"/>
      <c r="AQ37" s="110"/>
      <c r="AR37" s="24">
        <f t="shared" si="9"/>
        <v>0</v>
      </c>
      <c r="AS37" s="24">
        <f t="shared" si="10"/>
        <v>0</v>
      </c>
      <c r="AT37" s="24">
        <f t="shared" si="11"/>
        <v>0</v>
      </c>
      <c r="AU37" s="24">
        <f t="shared" si="12"/>
        <v>0</v>
      </c>
      <c r="AV37" s="110"/>
      <c r="AW37" s="25">
        <f>AR37*'School Info'!$E$17/1000</f>
        <v>0</v>
      </c>
      <c r="AX37" s="25">
        <f>AS37*'School Info'!$E$17/1000</f>
        <v>0</v>
      </c>
      <c r="AY37" s="25">
        <f>AT37*'School Info'!$E$18/1000</f>
        <v>0</v>
      </c>
      <c r="AZ37" s="25">
        <f>AU37*'School Info'!$E$18/1000</f>
        <v>0</v>
      </c>
    </row>
    <row r="38" spans="1:52" ht="27" customHeight="1" thickBot="1">
      <c r="A38" s="673"/>
      <c r="B38" s="43"/>
      <c r="C38" s="44"/>
      <c r="D38" s="44"/>
      <c r="E38" s="44"/>
      <c r="F38" s="44"/>
      <c r="G38" s="44"/>
      <c r="H38" s="44"/>
      <c r="I38" s="44"/>
      <c r="J38" s="45"/>
      <c r="K38" s="850" t="s">
        <v>56</v>
      </c>
      <c r="L38" s="851"/>
      <c r="M38" s="851"/>
      <c r="N38" s="851"/>
      <c r="O38" s="851"/>
      <c r="P38" s="851"/>
      <c r="Q38" s="852"/>
      <c r="R38" s="84">
        <f>SUM(R7:R37)</f>
        <v>4350</v>
      </c>
      <c r="S38" s="85">
        <f t="shared" ref="S38:AG38" si="15">SUM(S7:S37)</f>
        <v>6000</v>
      </c>
      <c r="T38" s="85">
        <f t="shared" si="15"/>
        <v>10350</v>
      </c>
      <c r="U38" s="85">
        <f t="shared" si="15"/>
        <v>4050</v>
      </c>
      <c r="V38" s="85">
        <f t="shared" si="15"/>
        <v>5040</v>
      </c>
      <c r="W38" s="85">
        <f t="shared" si="15"/>
        <v>9090</v>
      </c>
      <c r="X38" s="85">
        <f t="shared" si="15"/>
        <v>322</v>
      </c>
      <c r="Y38" s="85">
        <f t="shared" si="15"/>
        <v>439</v>
      </c>
      <c r="Z38" s="85">
        <f t="shared" si="15"/>
        <v>761</v>
      </c>
      <c r="AA38" s="85">
        <f t="shared" si="15"/>
        <v>130</v>
      </c>
      <c r="AB38" s="85">
        <f t="shared" si="15"/>
        <v>182</v>
      </c>
      <c r="AC38" s="85">
        <f t="shared" si="15"/>
        <v>312</v>
      </c>
      <c r="AD38" s="514">
        <f>SUM(AD7:AD37)</f>
        <v>0</v>
      </c>
      <c r="AE38" s="514">
        <f t="shared" si="15"/>
        <v>0</v>
      </c>
      <c r="AF38" s="514">
        <f t="shared" si="15"/>
        <v>0</v>
      </c>
      <c r="AG38" s="514">
        <f t="shared" si="15"/>
        <v>0</v>
      </c>
      <c r="AH38" s="514">
        <f t="shared" ref="AH38:AK38" si="16">SUM(AH7:AH37)</f>
        <v>0</v>
      </c>
      <c r="AI38" s="514">
        <f t="shared" si="16"/>
        <v>0</v>
      </c>
      <c r="AJ38" s="514">
        <f t="shared" si="16"/>
        <v>0</v>
      </c>
      <c r="AK38" s="515">
        <f t="shared" si="16"/>
        <v>0</v>
      </c>
      <c r="AL38" s="875"/>
      <c r="AM38" s="875"/>
      <c r="AN38" s="875"/>
      <c r="AO38" s="876"/>
      <c r="AP38" s="808"/>
      <c r="AQ38" s="24" t="s">
        <v>56</v>
      </c>
      <c r="AR38" s="26">
        <f>SUM(AR7:AR37)</f>
        <v>536</v>
      </c>
      <c r="AS38" s="26">
        <f t="shared" ref="AS38" si="17">SUM(AS7:AS37)</f>
        <v>200</v>
      </c>
      <c r="AT38" s="26">
        <f t="shared" ref="AT38" si="18">SUM(AT7:AT37)</f>
        <v>204</v>
      </c>
      <c r="AU38" s="26">
        <f t="shared" ref="AU38" si="19">SUM(AU7:AU37)</f>
        <v>96</v>
      </c>
      <c r="AV38" s="5" t="s">
        <v>56</v>
      </c>
      <c r="AW38" s="26">
        <f>SUM(AW7:AW37)</f>
        <v>53.6</v>
      </c>
      <c r="AX38" s="26">
        <f t="shared" ref="AX38:AZ38" si="20">SUM(AX7:AX37)</f>
        <v>20</v>
      </c>
      <c r="AY38" s="26">
        <f t="shared" si="20"/>
        <v>30.600000000000009</v>
      </c>
      <c r="AZ38" s="26">
        <f t="shared" si="20"/>
        <v>14.400000000000002</v>
      </c>
    </row>
    <row r="39" spans="1:52" ht="9.75" customHeight="1">
      <c r="A39" s="673"/>
      <c r="B39" s="673"/>
      <c r="C39" s="673"/>
      <c r="D39" s="673"/>
      <c r="E39" s="673"/>
      <c r="F39" s="673"/>
      <c r="G39" s="673"/>
      <c r="H39" s="673"/>
      <c r="I39" s="673"/>
      <c r="J39" s="673"/>
      <c r="K39" s="673"/>
      <c r="L39" s="673"/>
      <c r="M39" s="673"/>
      <c r="N39" s="673"/>
      <c r="O39" s="673"/>
      <c r="P39" s="673"/>
      <c r="Q39" s="673"/>
      <c r="R39" s="673"/>
      <c r="S39" s="673"/>
      <c r="T39" s="673"/>
      <c r="U39" s="673"/>
      <c r="V39" s="673"/>
      <c r="W39" s="673"/>
      <c r="X39" s="673"/>
      <c r="Y39" s="673"/>
      <c r="Z39" s="673"/>
      <c r="AA39" s="673"/>
      <c r="AB39" s="673"/>
      <c r="AC39" s="673"/>
      <c r="AD39" s="673"/>
      <c r="AE39" s="673"/>
      <c r="AF39" s="673"/>
      <c r="AG39" s="673"/>
      <c r="AH39" s="673"/>
      <c r="AI39" s="673"/>
      <c r="AJ39" s="673"/>
      <c r="AK39" s="673"/>
      <c r="AL39" s="673"/>
      <c r="AM39" s="673"/>
      <c r="AN39" s="673"/>
      <c r="AO39" s="673"/>
      <c r="AP39" s="673"/>
      <c r="AQ39" s="14"/>
      <c r="AR39" s="14"/>
      <c r="AS39" s="14"/>
      <c r="AT39" s="14"/>
      <c r="AU39" s="14"/>
      <c r="AV39" s="14"/>
    </row>
    <row r="40" spans="1:52" ht="23.25" hidden="1" customHeight="1">
      <c r="AQ40" s="110"/>
      <c r="AV40" s="110"/>
    </row>
    <row r="41" spans="1:52" ht="18" hidden="1" customHeight="1">
      <c r="AQ41" s="110"/>
      <c r="AV41" s="110"/>
    </row>
    <row r="42" spans="1:52" ht="18" hidden="1" customHeight="1">
      <c r="AQ42" s="110"/>
      <c r="AV42" s="110"/>
    </row>
    <row r="43" spans="1:52" ht="18" hidden="1" customHeight="1">
      <c r="AQ43" s="110"/>
      <c r="AV43" s="110"/>
    </row>
    <row r="44" spans="1:52" ht="18" hidden="1" customHeight="1">
      <c r="AQ44" s="110">
        <v>0</v>
      </c>
      <c r="AV44" s="110"/>
    </row>
    <row r="45" spans="1:52" ht="18" hidden="1" customHeight="1">
      <c r="AQ45" s="110">
        <v>1</v>
      </c>
      <c r="AV45" s="110"/>
    </row>
    <row r="46" spans="1:52" ht="18" hidden="1" customHeight="1">
      <c r="AQ46" s="110">
        <v>2</v>
      </c>
      <c r="AV46" s="110"/>
    </row>
    <row r="47" spans="1:52" ht="18" hidden="1" customHeight="1">
      <c r="AQ47" s="110">
        <v>3</v>
      </c>
      <c r="AV47" s="110"/>
    </row>
    <row r="48" spans="1:52" ht="18" hidden="1" customHeight="1">
      <c r="AQ48" s="110">
        <v>4</v>
      </c>
      <c r="AV48" s="110"/>
    </row>
    <row r="49" spans="30:48" ht="18" hidden="1" customHeight="1">
      <c r="AQ49" s="110">
        <v>5</v>
      </c>
      <c r="AV49" s="110"/>
    </row>
    <row r="50" spans="30:48" ht="18" hidden="1" customHeight="1">
      <c r="AQ50" s="110">
        <v>6</v>
      </c>
      <c r="AV50" s="110"/>
    </row>
    <row r="51" spans="30:48" ht="18" hidden="1" customHeight="1">
      <c r="AQ51" s="110">
        <v>7</v>
      </c>
      <c r="AV51" s="110"/>
    </row>
    <row r="52" spans="30:48" ht="12.75" hidden="1" customHeight="1">
      <c r="AQ52" s="110">
        <v>8</v>
      </c>
      <c r="AV52" s="110"/>
    </row>
    <row r="53" spans="30:48" ht="12.75" hidden="1" customHeight="1">
      <c r="AQ53" s="110">
        <v>9</v>
      </c>
      <c r="AV53" s="110"/>
    </row>
    <row r="54" spans="30:48" ht="12.75" hidden="1" customHeight="1">
      <c r="AQ54" s="110">
        <v>10</v>
      </c>
      <c r="AV54" s="110"/>
    </row>
    <row r="55" spans="30:48" ht="12.75" hidden="1" customHeight="1">
      <c r="AQ55" s="110">
        <v>11</v>
      </c>
      <c r="AV55" s="110"/>
    </row>
    <row r="56" spans="30:48" ht="12.75" hidden="1" customHeight="1">
      <c r="AQ56" s="110">
        <v>12</v>
      </c>
      <c r="AV56" s="110"/>
    </row>
    <row r="57" spans="30:48" ht="12.75" hidden="1" customHeight="1">
      <c r="AQ57" s="110">
        <v>13</v>
      </c>
      <c r="AV57" s="110"/>
    </row>
    <row r="58" spans="30:48" ht="26.25" hidden="1" customHeight="1">
      <c r="AQ58" s="110">
        <v>14</v>
      </c>
      <c r="AV58" s="110"/>
    </row>
    <row r="59" spans="30:48" ht="39" hidden="1" customHeight="1">
      <c r="AQ59" s="110">
        <v>15</v>
      </c>
      <c r="AV59" s="110"/>
    </row>
    <row r="60" spans="30:48" ht="384" hidden="1" customHeight="1">
      <c r="AQ60" s="110">
        <v>16</v>
      </c>
      <c r="AV60" s="110"/>
    </row>
    <row r="61" spans="30:48" hidden="1">
      <c r="AQ61" s="110">
        <v>17</v>
      </c>
      <c r="AV61" s="110"/>
    </row>
    <row r="62" spans="30:48" s="14" customFormat="1" ht="15" hidden="1" customHeight="1">
      <c r="AD62" s="74"/>
      <c r="AE62" s="74"/>
      <c r="AF62" s="74"/>
      <c r="AG62" s="74"/>
      <c r="AH62" s="74"/>
      <c r="AI62" s="74"/>
      <c r="AJ62" s="74"/>
      <c r="AK62" s="74"/>
      <c r="AQ62" s="108">
        <v>18</v>
      </c>
      <c r="AV62" s="108"/>
    </row>
    <row r="63" spans="30:48" ht="18" hidden="1" customHeight="1">
      <c r="AQ63" s="110">
        <v>19</v>
      </c>
      <c r="AV63" s="110"/>
    </row>
    <row r="64" spans="30:48" ht="15" hidden="1" customHeight="1">
      <c r="AQ64" s="110">
        <v>20</v>
      </c>
      <c r="AV64" s="110"/>
    </row>
    <row r="65" spans="43:48" ht="15" hidden="1" customHeight="1">
      <c r="AQ65" s="110">
        <v>21</v>
      </c>
      <c r="AV65" s="110"/>
    </row>
    <row r="66" spans="43:48" ht="15" hidden="1" customHeight="1">
      <c r="AQ66" s="110">
        <v>22</v>
      </c>
      <c r="AV66" s="110"/>
    </row>
    <row r="67" spans="43:48" ht="15" hidden="1" customHeight="1">
      <c r="AQ67" s="110">
        <v>23</v>
      </c>
      <c r="AV67" s="110"/>
    </row>
    <row r="68" spans="43:48" ht="15" hidden="1" customHeight="1">
      <c r="AQ68" s="110">
        <v>24</v>
      </c>
      <c r="AV68" s="110"/>
    </row>
    <row r="69" spans="43:48" ht="15" hidden="1" customHeight="1">
      <c r="AQ69" s="110">
        <v>25</v>
      </c>
      <c r="AV69" s="110"/>
    </row>
    <row r="70" spans="43:48" ht="15" hidden="1" customHeight="1">
      <c r="AQ70" s="110">
        <v>26</v>
      </c>
      <c r="AV70" s="110"/>
    </row>
    <row r="71" spans="43:48" ht="15.75" hidden="1" customHeight="1">
      <c r="AQ71" s="110">
        <v>27</v>
      </c>
      <c r="AV71" s="110"/>
    </row>
    <row r="72" spans="43:48" ht="19.5" hidden="1" customHeight="1">
      <c r="AQ72" s="110">
        <v>28</v>
      </c>
      <c r="AV72" s="110"/>
    </row>
    <row r="73" spans="43:48" ht="19.5" hidden="1" customHeight="1">
      <c r="AQ73" s="110">
        <v>29</v>
      </c>
      <c r="AV73" s="110"/>
    </row>
    <row r="74" spans="43:48" ht="22.5" hidden="1" customHeight="1">
      <c r="AQ74" s="110">
        <v>30</v>
      </c>
      <c r="AV74" s="110"/>
    </row>
    <row r="75" spans="43:48" ht="22.5" hidden="1" customHeight="1">
      <c r="AQ75" s="110">
        <v>31</v>
      </c>
      <c r="AV75" s="110"/>
    </row>
    <row r="76" spans="43:48" ht="22.5" hidden="1" customHeight="1">
      <c r="AQ76" s="110">
        <v>32</v>
      </c>
      <c r="AV76" s="110"/>
    </row>
    <row r="77" spans="43:48" ht="22.5" hidden="1" customHeight="1">
      <c r="AQ77" s="110">
        <v>33</v>
      </c>
      <c r="AV77" s="110"/>
    </row>
    <row r="78" spans="43:48" ht="22.5" hidden="1" customHeight="1">
      <c r="AQ78" s="110">
        <v>34</v>
      </c>
      <c r="AV78" s="110"/>
    </row>
    <row r="79" spans="43:48" ht="22.5" hidden="1" customHeight="1">
      <c r="AQ79" s="110">
        <v>35</v>
      </c>
      <c r="AV79" s="110"/>
    </row>
    <row r="80" spans="43:48" ht="22.5" hidden="1" customHeight="1">
      <c r="AQ80" s="110">
        <v>36</v>
      </c>
      <c r="AV80" s="110"/>
    </row>
    <row r="81" spans="43:48" ht="22.5" hidden="1" customHeight="1">
      <c r="AQ81" s="110">
        <v>37</v>
      </c>
      <c r="AV81" s="110"/>
    </row>
    <row r="82" spans="43:48" ht="22.5" hidden="1" customHeight="1">
      <c r="AQ82" s="110">
        <v>38</v>
      </c>
      <c r="AV82" s="110"/>
    </row>
    <row r="83" spans="43:48" ht="22.5" hidden="1" customHeight="1">
      <c r="AQ83" s="110">
        <v>39</v>
      </c>
      <c r="AV83" s="110"/>
    </row>
    <row r="84" spans="43:48" ht="22.5" hidden="1" customHeight="1">
      <c r="AQ84" s="110">
        <v>40</v>
      </c>
      <c r="AV84" s="110"/>
    </row>
    <row r="85" spans="43:48" ht="22.5" hidden="1" customHeight="1">
      <c r="AQ85" s="110">
        <v>41</v>
      </c>
      <c r="AV85" s="110"/>
    </row>
    <row r="86" spans="43:48" ht="22.5" hidden="1" customHeight="1">
      <c r="AQ86" s="110">
        <v>42</v>
      </c>
      <c r="AV86" s="110"/>
    </row>
    <row r="87" spans="43:48" ht="22.5" hidden="1" customHeight="1">
      <c r="AQ87" s="110">
        <v>43</v>
      </c>
      <c r="AV87" s="110"/>
    </row>
    <row r="88" spans="43:48" ht="22.5" hidden="1" customHeight="1">
      <c r="AQ88" s="110">
        <v>44</v>
      </c>
      <c r="AV88" s="110"/>
    </row>
    <row r="89" spans="43:48" ht="22.5" hidden="1" customHeight="1">
      <c r="AQ89" s="110">
        <v>45</v>
      </c>
      <c r="AV89" s="110"/>
    </row>
    <row r="90" spans="43:48" ht="22.5" hidden="1" customHeight="1">
      <c r="AQ90" s="110">
        <v>46</v>
      </c>
      <c r="AV90" s="110"/>
    </row>
    <row r="91" spans="43:48" ht="22.5" hidden="1" customHeight="1">
      <c r="AQ91" s="110">
        <v>47</v>
      </c>
      <c r="AV91" s="110"/>
    </row>
    <row r="92" spans="43:48" ht="22.5" hidden="1" customHeight="1">
      <c r="AQ92" s="110">
        <v>48</v>
      </c>
      <c r="AV92" s="110"/>
    </row>
    <row r="93" spans="43:48" ht="22.5" hidden="1" customHeight="1">
      <c r="AQ93" s="110">
        <v>49</v>
      </c>
      <c r="AV93" s="110"/>
    </row>
    <row r="94" spans="43:48" ht="22.5" hidden="1" customHeight="1">
      <c r="AQ94" s="110">
        <v>50</v>
      </c>
      <c r="AV94" s="110"/>
    </row>
    <row r="95" spans="43:48" ht="22.5" hidden="1" customHeight="1">
      <c r="AQ95" s="110">
        <v>51</v>
      </c>
      <c r="AV95" s="110"/>
    </row>
    <row r="96" spans="43:48" ht="22.5" hidden="1" customHeight="1">
      <c r="AQ96" s="110">
        <v>52</v>
      </c>
      <c r="AV96" s="110"/>
    </row>
    <row r="97" spans="43:48" ht="22.5" hidden="1" customHeight="1">
      <c r="AQ97" s="110">
        <v>53</v>
      </c>
      <c r="AV97" s="110"/>
    </row>
    <row r="98" spans="43:48" ht="22.5" hidden="1" customHeight="1">
      <c r="AQ98" s="110">
        <v>54</v>
      </c>
      <c r="AV98" s="110"/>
    </row>
    <row r="99" spans="43:48" ht="22.5" hidden="1" customHeight="1">
      <c r="AQ99" s="110">
        <v>55</v>
      </c>
      <c r="AV99" s="110"/>
    </row>
    <row r="100" spans="43:48" ht="22.5" hidden="1" customHeight="1">
      <c r="AQ100" s="110">
        <v>56</v>
      </c>
      <c r="AV100" s="110"/>
    </row>
    <row r="101" spans="43:48" ht="22.5" hidden="1" customHeight="1">
      <c r="AQ101" s="110">
        <v>57</v>
      </c>
      <c r="AV101" s="110"/>
    </row>
    <row r="102" spans="43:48" ht="22.5" hidden="1" customHeight="1">
      <c r="AQ102" s="110">
        <v>58</v>
      </c>
      <c r="AV102" s="110"/>
    </row>
    <row r="103" spans="43:48" ht="22.5" hidden="1" customHeight="1">
      <c r="AQ103" s="110">
        <v>59</v>
      </c>
      <c r="AV103" s="110"/>
    </row>
    <row r="104" spans="43:48" ht="22.5" hidden="1" customHeight="1">
      <c r="AQ104" s="110">
        <v>60</v>
      </c>
      <c r="AV104" s="110"/>
    </row>
    <row r="105" spans="43:48" ht="23.25" hidden="1" customHeight="1">
      <c r="AQ105" s="110">
        <v>61</v>
      </c>
      <c r="AV105" s="110"/>
    </row>
    <row r="106" spans="43:48" ht="45.75" hidden="1" customHeight="1">
      <c r="AQ106" s="110">
        <v>62</v>
      </c>
      <c r="AV106" s="110"/>
    </row>
    <row r="107" spans="43:48" hidden="1">
      <c r="AQ107" s="110">
        <v>63</v>
      </c>
      <c r="AV107" s="110"/>
    </row>
    <row r="108" spans="43:48" hidden="1">
      <c r="AQ108" s="110">
        <v>64</v>
      </c>
      <c r="AV108" s="110"/>
    </row>
    <row r="109" spans="43:48" hidden="1">
      <c r="AQ109" s="110">
        <v>65</v>
      </c>
      <c r="AV109" s="110"/>
    </row>
    <row r="110" spans="43:48" hidden="1">
      <c r="AQ110" s="110">
        <v>66</v>
      </c>
      <c r="AV110" s="110"/>
    </row>
    <row r="111" spans="43:48" hidden="1">
      <c r="AQ111" s="110">
        <v>67</v>
      </c>
      <c r="AV111" s="110"/>
    </row>
    <row r="112" spans="43:48" hidden="1">
      <c r="AQ112" s="110">
        <v>68</v>
      </c>
      <c r="AV112" s="110"/>
    </row>
    <row r="113" spans="43:48" hidden="1">
      <c r="AQ113" s="110">
        <v>69</v>
      </c>
      <c r="AV113" s="110"/>
    </row>
    <row r="114" spans="43:48" hidden="1">
      <c r="AQ114" s="110">
        <v>70</v>
      </c>
      <c r="AV114" s="110"/>
    </row>
    <row r="115" spans="43:48" hidden="1">
      <c r="AQ115" s="110">
        <v>71</v>
      </c>
      <c r="AV115" s="110"/>
    </row>
    <row r="116" spans="43:48" hidden="1">
      <c r="AQ116" s="110">
        <v>72</v>
      </c>
      <c r="AV116" s="110"/>
    </row>
    <row r="117" spans="43:48" hidden="1">
      <c r="AQ117" s="110">
        <v>73</v>
      </c>
      <c r="AV117" s="110"/>
    </row>
    <row r="118" spans="43:48" hidden="1">
      <c r="AQ118" s="110">
        <v>74</v>
      </c>
      <c r="AV118" s="110"/>
    </row>
    <row r="119" spans="43:48" hidden="1">
      <c r="AQ119" s="110">
        <v>75</v>
      </c>
      <c r="AV119" s="110"/>
    </row>
    <row r="120" spans="43:48" hidden="1">
      <c r="AQ120" s="110">
        <v>76</v>
      </c>
      <c r="AV120" s="110"/>
    </row>
    <row r="121" spans="43:48" hidden="1">
      <c r="AQ121" s="110">
        <v>77</v>
      </c>
      <c r="AV121" s="110"/>
    </row>
    <row r="122" spans="43:48" hidden="1">
      <c r="AQ122" s="110">
        <v>78</v>
      </c>
      <c r="AV122" s="110"/>
    </row>
    <row r="123" spans="43:48" hidden="1">
      <c r="AQ123" s="110">
        <v>79</v>
      </c>
      <c r="AV123" s="110"/>
    </row>
    <row r="124" spans="43:48" hidden="1">
      <c r="AQ124" s="110">
        <v>80</v>
      </c>
      <c r="AV124" s="110"/>
    </row>
    <row r="125" spans="43:48" hidden="1">
      <c r="AQ125" s="110">
        <v>81</v>
      </c>
      <c r="AV125" s="110"/>
    </row>
    <row r="126" spans="43:48" hidden="1">
      <c r="AQ126" s="110">
        <v>82</v>
      </c>
      <c r="AV126" s="110"/>
    </row>
    <row r="127" spans="43:48" hidden="1">
      <c r="AQ127" s="110">
        <v>83</v>
      </c>
      <c r="AV127" s="110"/>
    </row>
    <row r="128" spans="43:48" hidden="1">
      <c r="AQ128" s="110">
        <v>84</v>
      </c>
      <c r="AV128" s="110"/>
    </row>
    <row r="129" spans="43:48" hidden="1">
      <c r="AQ129" s="110">
        <v>85</v>
      </c>
      <c r="AV129" s="110"/>
    </row>
    <row r="130" spans="43:48" hidden="1">
      <c r="AQ130" s="110">
        <v>86</v>
      </c>
      <c r="AV130" s="110"/>
    </row>
    <row r="131" spans="43:48" hidden="1">
      <c r="AQ131" s="110">
        <v>87</v>
      </c>
      <c r="AV131" s="110"/>
    </row>
    <row r="132" spans="43:48" hidden="1">
      <c r="AQ132" s="110">
        <v>88</v>
      </c>
      <c r="AV132" s="110"/>
    </row>
    <row r="133" spans="43:48" hidden="1">
      <c r="AQ133" s="110">
        <v>89</v>
      </c>
      <c r="AV133" s="110"/>
    </row>
    <row r="134" spans="43:48" hidden="1">
      <c r="AQ134" s="110">
        <v>90</v>
      </c>
      <c r="AV134" s="110"/>
    </row>
    <row r="135" spans="43:48" hidden="1">
      <c r="AQ135" s="110">
        <v>91</v>
      </c>
      <c r="AV135" s="110"/>
    </row>
    <row r="136" spans="43:48" hidden="1">
      <c r="AQ136" s="110">
        <v>92</v>
      </c>
      <c r="AV136" s="110"/>
    </row>
    <row r="137" spans="43:48" hidden="1">
      <c r="AQ137" s="110">
        <v>93</v>
      </c>
      <c r="AV137" s="110"/>
    </row>
    <row r="138" spans="43:48" hidden="1">
      <c r="AQ138" s="110">
        <v>94</v>
      </c>
      <c r="AV138" s="110"/>
    </row>
    <row r="139" spans="43:48" hidden="1">
      <c r="AQ139" s="110">
        <v>95</v>
      </c>
      <c r="AV139" s="110"/>
    </row>
    <row r="140" spans="43:48" hidden="1">
      <c r="AQ140" s="110">
        <v>96</v>
      </c>
      <c r="AV140" s="110"/>
    </row>
    <row r="141" spans="43:48" hidden="1">
      <c r="AQ141" s="110">
        <v>97</v>
      </c>
      <c r="AV141" s="110"/>
    </row>
    <row r="142" spans="43:48" hidden="1">
      <c r="AQ142" s="110">
        <v>98</v>
      </c>
      <c r="AV142" s="110"/>
    </row>
    <row r="143" spans="43:48" hidden="1">
      <c r="AQ143" s="110">
        <v>99</v>
      </c>
      <c r="AV143" s="110"/>
    </row>
    <row r="144" spans="43:48" hidden="1">
      <c r="AQ144" s="110">
        <v>100</v>
      </c>
      <c r="AV144" s="110"/>
    </row>
    <row r="145" spans="43:48" hidden="1">
      <c r="AQ145" s="110">
        <v>101</v>
      </c>
      <c r="AV145" s="110"/>
    </row>
    <row r="146" spans="43:48" hidden="1">
      <c r="AQ146" s="110">
        <v>102</v>
      </c>
      <c r="AV146" s="110"/>
    </row>
    <row r="147" spans="43:48" hidden="1">
      <c r="AQ147" s="110">
        <v>103</v>
      </c>
      <c r="AV147" s="110"/>
    </row>
    <row r="148" spans="43:48" hidden="1">
      <c r="AQ148" s="110">
        <v>104</v>
      </c>
      <c r="AV148" s="110"/>
    </row>
    <row r="149" spans="43:48" hidden="1">
      <c r="AQ149" s="110">
        <v>105</v>
      </c>
      <c r="AV149" s="110"/>
    </row>
    <row r="150" spans="43:48" hidden="1">
      <c r="AQ150" s="110">
        <v>106</v>
      </c>
      <c r="AV150" s="110"/>
    </row>
    <row r="151" spans="43:48" hidden="1">
      <c r="AQ151" s="110">
        <v>107</v>
      </c>
      <c r="AV151" s="110"/>
    </row>
    <row r="152" spans="43:48" hidden="1">
      <c r="AQ152" s="110">
        <v>108</v>
      </c>
      <c r="AV152" s="110"/>
    </row>
    <row r="153" spans="43:48" hidden="1">
      <c r="AQ153" s="110">
        <v>109</v>
      </c>
      <c r="AV153" s="110"/>
    </row>
    <row r="154" spans="43:48" hidden="1">
      <c r="AQ154" s="110">
        <v>110</v>
      </c>
      <c r="AV154" s="110"/>
    </row>
    <row r="155" spans="43:48" hidden="1">
      <c r="AQ155" s="110">
        <v>111</v>
      </c>
      <c r="AV155" s="110"/>
    </row>
    <row r="156" spans="43:48" hidden="1">
      <c r="AQ156" s="110">
        <v>112</v>
      </c>
      <c r="AV156" s="110"/>
    </row>
    <row r="157" spans="43:48" hidden="1">
      <c r="AQ157" s="110">
        <v>113</v>
      </c>
      <c r="AV157" s="110"/>
    </row>
    <row r="158" spans="43:48" hidden="1">
      <c r="AQ158" s="110">
        <v>114</v>
      </c>
      <c r="AV158" s="110"/>
    </row>
    <row r="159" spans="43:48" hidden="1">
      <c r="AQ159" s="110">
        <v>115</v>
      </c>
      <c r="AV159" s="110"/>
    </row>
    <row r="160" spans="43:48" hidden="1">
      <c r="AQ160" s="110">
        <v>116</v>
      </c>
      <c r="AV160" s="110"/>
    </row>
    <row r="161" spans="43:48" hidden="1">
      <c r="AQ161" s="110">
        <v>117</v>
      </c>
      <c r="AV161" s="110"/>
    </row>
    <row r="162" spans="43:48" hidden="1">
      <c r="AQ162" s="110">
        <v>118</v>
      </c>
      <c r="AV162" s="110"/>
    </row>
    <row r="163" spans="43:48" hidden="1">
      <c r="AQ163" s="110">
        <v>119</v>
      </c>
      <c r="AV163" s="110"/>
    </row>
    <row r="164" spans="43:48" hidden="1">
      <c r="AQ164" s="110">
        <v>120</v>
      </c>
      <c r="AV164" s="110"/>
    </row>
    <row r="165" spans="43:48" hidden="1">
      <c r="AQ165" s="110">
        <v>121</v>
      </c>
      <c r="AV165" s="110"/>
    </row>
    <row r="166" spans="43:48" hidden="1">
      <c r="AQ166" s="110">
        <v>122</v>
      </c>
      <c r="AV166" s="110"/>
    </row>
    <row r="167" spans="43:48" hidden="1">
      <c r="AQ167" s="110">
        <v>123</v>
      </c>
      <c r="AV167" s="110"/>
    </row>
    <row r="168" spans="43:48" hidden="1">
      <c r="AQ168" s="110">
        <v>124</v>
      </c>
      <c r="AV168" s="110"/>
    </row>
    <row r="169" spans="43:48" hidden="1">
      <c r="AQ169" s="110">
        <v>125</v>
      </c>
      <c r="AV169" s="110"/>
    </row>
    <row r="170" spans="43:48" hidden="1">
      <c r="AQ170" s="110">
        <v>126</v>
      </c>
      <c r="AV170" s="110"/>
    </row>
    <row r="171" spans="43:48" hidden="1">
      <c r="AQ171" s="110">
        <v>127</v>
      </c>
      <c r="AV171" s="110"/>
    </row>
    <row r="172" spans="43:48" hidden="1">
      <c r="AQ172" s="110">
        <v>128</v>
      </c>
      <c r="AV172" s="110"/>
    </row>
    <row r="173" spans="43:48" hidden="1">
      <c r="AQ173" s="110">
        <v>129</v>
      </c>
      <c r="AV173" s="110"/>
    </row>
    <row r="174" spans="43:48" hidden="1">
      <c r="AQ174" s="110">
        <v>130</v>
      </c>
      <c r="AV174" s="110"/>
    </row>
    <row r="175" spans="43:48" hidden="1">
      <c r="AQ175" s="110">
        <v>131</v>
      </c>
      <c r="AV175" s="110"/>
    </row>
    <row r="176" spans="43:48" hidden="1">
      <c r="AQ176" s="110">
        <v>132</v>
      </c>
      <c r="AV176" s="110"/>
    </row>
    <row r="177" spans="43:48" hidden="1">
      <c r="AQ177" s="110">
        <v>133</v>
      </c>
      <c r="AV177" s="110"/>
    </row>
    <row r="178" spans="43:48" hidden="1">
      <c r="AQ178" s="110">
        <v>134</v>
      </c>
      <c r="AV178" s="110"/>
    </row>
    <row r="179" spans="43:48" hidden="1">
      <c r="AQ179" s="110">
        <v>135</v>
      </c>
      <c r="AV179" s="110"/>
    </row>
    <row r="180" spans="43:48" hidden="1">
      <c r="AQ180" s="110">
        <v>136</v>
      </c>
      <c r="AV180" s="110"/>
    </row>
    <row r="181" spans="43:48" hidden="1">
      <c r="AQ181" s="110">
        <v>137</v>
      </c>
      <c r="AV181" s="110"/>
    </row>
    <row r="182" spans="43:48" hidden="1">
      <c r="AQ182" s="110">
        <v>138</v>
      </c>
      <c r="AV182" s="110"/>
    </row>
    <row r="183" spans="43:48" hidden="1">
      <c r="AQ183" s="110">
        <v>139</v>
      </c>
      <c r="AV183" s="110"/>
    </row>
    <row r="184" spans="43:48" hidden="1">
      <c r="AQ184" s="110">
        <v>140</v>
      </c>
      <c r="AV184" s="110"/>
    </row>
    <row r="185" spans="43:48" hidden="1">
      <c r="AQ185" s="110">
        <v>141</v>
      </c>
      <c r="AV185" s="110"/>
    </row>
    <row r="186" spans="43:48" hidden="1">
      <c r="AQ186" s="110">
        <v>142</v>
      </c>
      <c r="AV186" s="110"/>
    </row>
    <row r="187" spans="43:48" hidden="1">
      <c r="AQ187" s="110">
        <v>143</v>
      </c>
      <c r="AV187" s="110"/>
    </row>
    <row r="188" spans="43:48" hidden="1">
      <c r="AQ188" s="110">
        <v>144</v>
      </c>
      <c r="AV188" s="110"/>
    </row>
    <row r="189" spans="43:48" hidden="1">
      <c r="AQ189" s="110">
        <v>145</v>
      </c>
      <c r="AV189" s="110"/>
    </row>
    <row r="190" spans="43:48" hidden="1">
      <c r="AQ190" s="110">
        <v>146</v>
      </c>
      <c r="AV190" s="110"/>
    </row>
    <row r="191" spans="43:48" hidden="1">
      <c r="AQ191" s="110">
        <v>147</v>
      </c>
      <c r="AV191" s="110"/>
    </row>
    <row r="192" spans="43:48" hidden="1">
      <c r="AQ192" s="110">
        <v>148</v>
      </c>
      <c r="AV192" s="110"/>
    </row>
    <row r="193" spans="43:48" hidden="1">
      <c r="AQ193" s="110">
        <v>149</v>
      </c>
      <c r="AV193" s="110"/>
    </row>
    <row r="194" spans="43:48" hidden="1">
      <c r="AQ194" s="110">
        <v>150</v>
      </c>
      <c r="AV194" s="110"/>
    </row>
    <row r="195" spans="43:48" hidden="1">
      <c r="AQ195" s="110">
        <v>151</v>
      </c>
      <c r="AV195" s="110"/>
    </row>
    <row r="196" spans="43:48" hidden="1">
      <c r="AQ196" s="110">
        <v>152</v>
      </c>
      <c r="AV196" s="110"/>
    </row>
    <row r="197" spans="43:48" hidden="1">
      <c r="AQ197" s="110">
        <v>153</v>
      </c>
      <c r="AV197" s="110"/>
    </row>
    <row r="198" spans="43:48" hidden="1">
      <c r="AQ198" s="110">
        <v>154</v>
      </c>
      <c r="AV198" s="110"/>
    </row>
    <row r="199" spans="43:48" hidden="1">
      <c r="AQ199" s="110">
        <v>155</v>
      </c>
      <c r="AV199" s="110"/>
    </row>
    <row r="200" spans="43:48" hidden="1">
      <c r="AQ200" s="110">
        <v>156</v>
      </c>
      <c r="AV200" s="110"/>
    </row>
    <row r="201" spans="43:48" hidden="1">
      <c r="AQ201" s="110">
        <v>157</v>
      </c>
      <c r="AV201" s="110"/>
    </row>
    <row r="202" spans="43:48" hidden="1">
      <c r="AQ202" s="110">
        <v>158</v>
      </c>
      <c r="AV202" s="110"/>
    </row>
    <row r="203" spans="43:48" hidden="1">
      <c r="AQ203" s="110">
        <v>159</v>
      </c>
      <c r="AV203" s="110"/>
    </row>
    <row r="204" spans="43:48" hidden="1">
      <c r="AQ204" s="110">
        <v>160</v>
      </c>
      <c r="AV204" s="110"/>
    </row>
    <row r="205" spans="43:48" hidden="1">
      <c r="AQ205" s="110">
        <v>161</v>
      </c>
      <c r="AV205" s="110"/>
    </row>
    <row r="206" spans="43:48" hidden="1">
      <c r="AQ206" s="110">
        <v>162</v>
      </c>
      <c r="AV206" s="110"/>
    </row>
    <row r="207" spans="43:48" hidden="1">
      <c r="AQ207" s="110">
        <v>163</v>
      </c>
      <c r="AV207" s="110"/>
    </row>
    <row r="208" spans="43:48" hidden="1">
      <c r="AQ208" s="110">
        <v>164</v>
      </c>
      <c r="AV208" s="110"/>
    </row>
    <row r="209" spans="43:48" hidden="1">
      <c r="AQ209" s="110">
        <v>165</v>
      </c>
      <c r="AV209" s="110"/>
    </row>
    <row r="210" spans="43:48" hidden="1">
      <c r="AQ210" s="110">
        <v>166</v>
      </c>
      <c r="AV210" s="110"/>
    </row>
    <row r="211" spans="43:48" hidden="1">
      <c r="AQ211" s="110">
        <v>167</v>
      </c>
      <c r="AV211" s="110"/>
    </row>
    <row r="212" spans="43:48" hidden="1">
      <c r="AQ212" s="110">
        <v>168</v>
      </c>
      <c r="AV212" s="110"/>
    </row>
    <row r="213" spans="43:48" hidden="1">
      <c r="AQ213" s="110">
        <v>169</v>
      </c>
      <c r="AV213" s="110"/>
    </row>
    <row r="214" spans="43:48" hidden="1">
      <c r="AQ214" s="110">
        <v>170</v>
      </c>
      <c r="AV214" s="110"/>
    </row>
    <row r="215" spans="43:48" hidden="1">
      <c r="AQ215" s="110">
        <v>171</v>
      </c>
      <c r="AV215" s="110"/>
    </row>
    <row r="216" spans="43:48" hidden="1">
      <c r="AQ216" s="110">
        <v>172</v>
      </c>
      <c r="AV216" s="110"/>
    </row>
    <row r="217" spans="43:48" hidden="1">
      <c r="AQ217" s="110">
        <v>173</v>
      </c>
      <c r="AV217" s="110"/>
    </row>
    <row r="218" spans="43:48" hidden="1">
      <c r="AQ218" s="110">
        <v>174</v>
      </c>
      <c r="AV218" s="110"/>
    </row>
    <row r="219" spans="43:48" hidden="1">
      <c r="AQ219" s="110">
        <v>175</v>
      </c>
      <c r="AV219" s="110"/>
    </row>
    <row r="220" spans="43:48" hidden="1">
      <c r="AQ220" s="110">
        <v>176</v>
      </c>
      <c r="AV220" s="110"/>
    </row>
    <row r="221" spans="43:48" hidden="1">
      <c r="AQ221" s="110">
        <v>177</v>
      </c>
      <c r="AV221" s="110"/>
    </row>
    <row r="222" spans="43:48" hidden="1">
      <c r="AQ222" s="110">
        <v>178</v>
      </c>
      <c r="AV222" s="110"/>
    </row>
    <row r="223" spans="43:48" hidden="1">
      <c r="AQ223" s="110">
        <v>179</v>
      </c>
      <c r="AV223" s="110"/>
    </row>
    <row r="224" spans="43:48" hidden="1">
      <c r="AQ224" s="110">
        <v>180</v>
      </c>
      <c r="AV224" s="110"/>
    </row>
    <row r="225" spans="43:48" hidden="1">
      <c r="AQ225" s="110">
        <v>181</v>
      </c>
      <c r="AV225" s="110"/>
    </row>
    <row r="226" spans="43:48" hidden="1">
      <c r="AQ226" s="110">
        <v>182</v>
      </c>
      <c r="AV226" s="110"/>
    </row>
    <row r="227" spans="43:48" hidden="1">
      <c r="AQ227" s="110">
        <v>183</v>
      </c>
      <c r="AV227" s="110"/>
    </row>
    <row r="228" spans="43:48" hidden="1">
      <c r="AQ228" s="110">
        <v>184</v>
      </c>
      <c r="AV228" s="110"/>
    </row>
    <row r="229" spans="43:48" hidden="1">
      <c r="AQ229" s="110">
        <v>185</v>
      </c>
      <c r="AV229" s="110"/>
    </row>
    <row r="230" spans="43:48" hidden="1">
      <c r="AQ230" s="110">
        <v>186</v>
      </c>
      <c r="AV230" s="110"/>
    </row>
    <row r="231" spans="43:48" hidden="1">
      <c r="AQ231" s="110">
        <v>187</v>
      </c>
      <c r="AV231" s="110"/>
    </row>
    <row r="232" spans="43:48" hidden="1">
      <c r="AQ232" s="110">
        <v>188</v>
      </c>
      <c r="AV232" s="110"/>
    </row>
    <row r="233" spans="43:48" hidden="1">
      <c r="AQ233" s="110">
        <v>189</v>
      </c>
      <c r="AV233" s="110"/>
    </row>
    <row r="234" spans="43:48" hidden="1">
      <c r="AQ234" s="110">
        <v>190</v>
      </c>
      <c r="AV234" s="110"/>
    </row>
    <row r="235" spans="43:48" hidden="1">
      <c r="AQ235" s="110">
        <v>191</v>
      </c>
      <c r="AV235" s="110"/>
    </row>
    <row r="236" spans="43:48" hidden="1">
      <c r="AQ236" s="110">
        <v>192</v>
      </c>
      <c r="AV236" s="110"/>
    </row>
    <row r="237" spans="43:48" hidden="1">
      <c r="AQ237" s="110">
        <v>193</v>
      </c>
      <c r="AV237" s="110"/>
    </row>
    <row r="238" spans="43:48" hidden="1">
      <c r="AQ238" s="110">
        <v>194</v>
      </c>
      <c r="AV238" s="110"/>
    </row>
    <row r="239" spans="43:48" hidden="1">
      <c r="AQ239" s="110">
        <v>195</v>
      </c>
      <c r="AV239" s="110"/>
    </row>
    <row r="240" spans="43:48" hidden="1">
      <c r="AQ240" s="110">
        <v>196</v>
      </c>
      <c r="AV240" s="110"/>
    </row>
    <row r="241" spans="43:48" hidden="1">
      <c r="AQ241" s="110">
        <v>197</v>
      </c>
      <c r="AV241" s="110"/>
    </row>
    <row r="242" spans="43:48" hidden="1">
      <c r="AQ242" s="110">
        <v>198</v>
      </c>
      <c r="AV242" s="110"/>
    </row>
    <row r="243" spans="43:48" hidden="1">
      <c r="AQ243" s="110">
        <v>199</v>
      </c>
      <c r="AV243" s="110"/>
    </row>
    <row r="244" spans="43:48" hidden="1">
      <c r="AQ244" s="110">
        <v>200</v>
      </c>
      <c r="AV244" s="110"/>
    </row>
    <row r="245" spans="43:48" hidden="1">
      <c r="AQ245" s="110">
        <v>201</v>
      </c>
      <c r="AV245" s="110"/>
    </row>
    <row r="246" spans="43:48" hidden="1">
      <c r="AQ246" s="110">
        <v>202</v>
      </c>
      <c r="AV246" s="110"/>
    </row>
    <row r="247" spans="43:48" hidden="1">
      <c r="AQ247" s="110">
        <v>203</v>
      </c>
      <c r="AV247" s="110"/>
    </row>
    <row r="248" spans="43:48" hidden="1">
      <c r="AQ248" s="110">
        <v>204</v>
      </c>
      <c r="AV248" s="110"/>
    </row>
    <row r="249" spans="43:48" hidden="1">
      <c r="AQ249" s="110">
        <v>205</v>
      </c>
      <c r="AV249" s="110"/>
    </row>
    <row r="250" spans="43:48" hidden="1">
      <c r="AQ250" s="110">
        <v>206</v>
      </c>
      <c r="AV250" s="110"/>
    </row>
    <row r="251" spans="43:48" hidden="1">
      <c r="AQ251" s="110">
        <v>207</v>
      </c>
      <c r="AV251" s="110"/>
    </row>
    <row r="252" spans="43:48" hidden="1">
      <c r="AQ252" s="110">
        <v>208</v>
      </c>
      <c r="AV252" s="110"/>
    </row>
    <row r="253" spans="43:48" hidden="1">
      <c r="AQ253" s="110">
        <v>209</v>
      </c>
      <c r="AV253" s="110"/>
    </row>
    <row r="254" spans="43:48" hidden="1">
      <c r="AQ254" s="110">
        <v>210</v>
      </c>
      <c r="AV254" s="110"/>
    </row>
    <row r="255" spans="43:48" hidden="1">
      <c r="AQ255" s="110">
        <v>211</v>
      </c>
      <c r="AV255" s="110"/>
    </row>
    <row r="256" spans="43:48" hidden="1">
      <c r="AQ256" s="110">
        <v>212</v>
      </c>
      <c r="AV256" s="110"/>
    </row>
    <row r="257" spans="43:48" hidden="1">
      <c r="AQ257" s="110">
        <v>213</v>
      </c>
      <c r="AV257" s="110"/>
    </row>
    <row r="258" spans="43:48" hidden="1">
      <c r="AQ258" s="110">
        <v>214</v>
      </c>
      <c r="AV258" s="110"/>
    </row>
    <row r="259" spans="43:48" hidden="1">
      <c r="AQ259" s="110">
        <v>215</v>
      </c>
      <c r="AV259" s="110"/>
    </row>
    <row r="260" spans="43:48" hidden="1">
      <c r="AQ260" s="110">
        <v>216</v>
      </c>
      <c r="AV260" s="110"/>
    </row>
    <row r="261" spans="43:48" hidden="1">
      <c r="AQ261" s="110">
        <v>217</v>
      </c>
      <c r="AV261" s="110"/>
    </row>
    <row r="262" spans="43:48" hidden="1">
      <c r="AQ262" s="110">
        <v>218</v>
      </c>
      <c r="AV262" s="110"/>
    </row>
    <row r="263" spans="43:48" hidden="1">
      <c r="AQ263" s="110">
        <v>219</v>
      </c>
      <c r="AV263" s="110"/>
    </row>
    <row r="264" spans="43:48" hidden="1">
      <c r="AQ264" s="110">
        <v>220</v>
      </c>
      <c r="AV264" s="110"/>
    </row>
    <row r="265" spans="43:48" hidden="1">
      <c r="AQ265" s="110">
        <v>221</v>
      </c>
      <c r="AV265" s="110"/>
    </row>
    <row r="266" spans="43:48" hidden="1">
      <c r="AQ266" s="110">
        <v>222</v>
      </c>
      <c r="AV266" s="110"/>
    </row>
    <row r="267" spans="43:48" hidden="1">
      <c r="AQ267" s="110">
        <v>223</v>
      </c>
      <c r="AV267" s="110"/>
    </row>
    <row r="268" spans="43:48" hidden="1">
      <c r="AQ268" s="110">
        <v>224</v>
      </c>
      <c r="AV268" s="110"/>
    </row>
    <row r="269" spans="43:48" hidden="1">
      <c r="AQ269" s="110">
        <v>225</v>
      </c>
      <c r="AV269" s="110"/>
    </row>
    <row r="270" spans="43:48" hidden="1">
      <c r="AQ270" s="110">
        <v>226</v>
      </c>
      <c r="AV270" s="110"/>
    </row>
    <row r="271" spans="43:48" hidden="1">
      <c r="AQ271" s="110">
        <v>227</v>
      </c>
      <c r="AV271" s="110"/>
    </row>
    <row r="272" spans="43:48" hidden="1">
      <c r="AQ272" s="110">
        <v>228</v>
      </c>
      <c r="AV272" s="110"/>
    </row>
    <row r="273" spans="43:48" hidden="1">
      <c r="AQ273" s="110">
        <v>229</v>
      </c>
      <c r="AV273" s="110"/>
    </row>
    <row r="274" spans="43:48" hidden="1">
      <c r="AQ274" s="110">
        <v>230</v>
      </c>
      <c r="AV274" s="110"/>
    </row>
    <row r="275" spans="43:48" hidden="1">
      <c r="AQ275" s="110">
        <v>231</v>
      </c>
      <c r="AV275" s="110"/>
    </row>
    <row r="276" spans="43:48" hidden="1">
      <c r="AQ276" s="110">
        <v>232</v>
      </c>
      <c r="AV276" s="110"/>
    </row>
    <row r="277" spans="43:48" hidden="1">
      <c r="AQ277" s="110">
        <v>233</v>
      </c>
      <c r="AV277" s="110"/>
    </row>
    <row r="278" spans="43:48" hidden="1">
      <c r="AQ278" s="110">
        <v>234</v>
      </c>
      <c r="AV278" s="110"/>
    </row>
    <row r="279" spans="43:48" hidden="1">
      <c r="AQ279" s="110">
        <v>235</v>
      </c>
      <c r="AV279" s="110"/>
    </row>
    <row r="280" spans="43:48" hidden="1">
      <c r="AQ280" s="110">
        <v>236</v>
      </c>
      <c r="AV280" s="110"/>
    </row>
    <row r="281" spans="43:48" hidden="1">
      <c r="AQ281" s="110">
        <v>237</v>
      </c>
      <c r="AV281" s="110"/>
    </row>
    <row r="282" spans="43:48" hidden="1">
      <c r="AQ282" s="110">
        <v>238</v>
      </c>
      <c r="AV282" s="110"/>
    </row>
    <row r="283" spans="43:48" hidden="1">
      <c r="AQ283" s="110">
        <v>239</v>
      </c>
      <c r="AV283" s="110"/>
    </row>
    <row r="284" spans="43:48" hidden="1">
      <c r="AQ284" s="110">
        <v>240</v>
      </c>
      <c r="AV284" s="110"/>
    </row>
    <row r="285" spans="43:48" hidden="1">
      <c r="AQ285" s="110">
        <v>241</v>
      </c>
      <c r="AV285" s="110"/>
    </row>
    <row r="286" spans="43:48" hidden="1">
      <c r="AQ286" s="110">
        <v>242</v>
      </c>
      <c r="AV286" s="110"/>
    </row>
    <row r="287" spans="43:48" hidden="1">
      <c r="AQ287" s="110">
        <v>243</v>
      </c>
      <c r="AV287" s="110"/>
    </row>
    <row r="288" spans="43:48" hidden="1">
      <c r="AQ288" s="110">
        <v>244</v>
      </c>
      <c r="AV288" s="110"/>
    </row>
    <row r="289" spans="43:48" hidden="1">
      <c r="AQ289" s="110">
        <v>245</v>
      </c>
      <c r="AV289" s="110"/>
    </row>
    <row r="290" spans="43:48" hidden="1">
      <c r="AQ290" s="110">
        <v>246</v>
      </c>
      <c r="AV290" s="110"/>
    </row>
    <row r="291" spans="43:48" hidden="1">
      <c r="AQ291" s="110">
        <v>247</v>
      </c>
      <c r="AV291" s="110"/>
    </row>
    <row r="292" spans="43:48" hidden="1">
      <c r="AQ292" s="110">
        <v>248</v>
      </c>
      <c r="AV292" s="110"/>
    </row>
    <row r="293" spans="43:48" hidden="1">
      <c r="AQ293" s="110">
        <v>249</v>
      </c>
      <c r="AV293" s="110"/>
    </row>
    <row r="294" spans="43:48" hidden="1">
      <c r="AQ294" s="110">
        <v>250</v>
      </c>
      <c r="AV294" s="110"/>
    </row>
    <row r="295" spans="43:48" hidden="1">
      <c r="AQ295" s="110">
        <v>251</v>
      </c>
      <c r="AV295" s="110"/>
    </row>
    <row r="296" spans="43:48" hidden="1">
      <c r="AQ296" s="110">
        <v>252</v>
      </c>
      <c r="AV296" s="110"/>
    </row>
    <row r="297" spans="43:48" hidden="1">
      <c r="AQ297" s="110">
        <v>253</v>
      </c>
      <c r="AV297" s="110"/>
    </row>
    <row r="298" spans="43:48" hidden="1">
      <c r="AQ298" s="110">
        <v>254</v>
      </c>
      <c r="AV298" s="110"/>
    </row>
    <row r="299" spans="43:48" hidden="1">
      <c r="AQ299" s="110">
        <v>255</v>
      </c>
      <c r="AV299" s="110"/>
    </row>
    <row r="300" spans="43:48" hidden="1">
      <c r="AQ300" s="110">
        <v>256</v>
      </c>
      <c r="AV300" s="110"/>
    </row>
    <row r="301" spans="43:48" hidden="1">
      <c r="AQ301" s="110">
        <v>257</v>
      </c>
      <c r="AV301" s="110"/>
    </row>
    <row r="302" spans="43:48" hidden="1">
      <c r="AQ302" s="110">
        <v>258</v>
      </c>
      <c r="AV302" s="110"/>
    </row>
    <row r="303" spans="43:48" hidden="1">
      <c r="AQ303" s="110">
        <v>259</v>
      </c>
      <c r="AV303" s="110"/>
    </row>
    <row r="304" spans="43:48" hidden="1">
      <c r="AQ304" s="110">
        <v>260</v>
      </c>
      <c r="AV304" s="110"/>
    </row>
    <row r="305" spans="43:48" hidden="1">
      <c r="AQ305" s="110">
        <v>261</v>
      </c>
      <c r="AV305" s="110"/>
    </row>
    <row r="306" spans="43:48" hidden="1">
      <c r="AQ306" s="110">
        <v>262</v>
      </c>
      <c r="AV306" s="110"/>
    </row>
    <row r="307" spans="43:48" hidden="1">
      <c r="AQ307" s="110">
        <v>263</v>
      </c>
      <c r="AV307" s="110"/>
    </row>
    <row r="308" spans="43:48" hidden="1">
      <c r="AQ308" s="110">
        <v>264</v>
      </c>
      <c r="AV308" s="110"/>
    </row>
    <row r="309" spans="43:48" hidden="1">
      <c r="AQ309" s="110">
        <v>265</v>
      </c>
      <c r="AV309" s="110"/>
    </row>
    <row r="310" spans="43:48" hidden="1">
      <c r="AQ310" s="110">
        <v>266</v>
      </c>
      <c r="AV310" s="110"/>
    </row>
    <row r="311" spans="43:48" hidden="1">
      <c r="AQ311" s="110">
        <v>267</v>
      </c>
      <c r="AV311" s="110"/>
    </row>
    <row r="312" spans="43:48" hidden="1">
      <c r="AQ312" s="110">
        <v>268</v>
      </c>
      <c r="AV312" s="110"/>
    </row>
    <row r="313" spans="43:48" hidden="1">
      <c r="AQ313" s="110">
        <v>269</v>
      </c>
      <c r="AV313" s="110"/>
    </row>
    <row r="314" spans="43:48" hidden="1">
      <c r="AQ314" s="110">
        <v>270</v>
      </c>
      <c r="AV314" s="110"/>
    </row>
    <row r="315" spans="43:48" hidden="1">
      <c r="AQ315" s="110">
        <v>271</v>
      </c>
      <c r="AV315" s="110"/>
    </row>
    <row r="316" spans="43:48" hidden="1">
      <c r="AQ316" s="110">
        <v>272</v>
      </c>
      <c r="AV316" s="110"/>
    </row>
    <row r="317" spans="43:48" hidden="1">
      <c r="AQ317" s="110">
        <v>273</v>
      </c>
      <c r="AV317" s="110"/>
    </row>
    <row r="318" spans="43:48" hidden="1">
      <c r="AQ318" s="110">
        <v>274</v>
      </c>
      <c r="AV318" s="110"/>
    </row>
    <row r="319" spans="43:48" hidden="1">
      <c r="AQ319" s="110">
        <v>275</v>
      </c>
      <c r="AV319" s="110"/>
    </row>
    <row r="320" spans="43:48" hidden="1">
      <c r="AQ320" s="110">
        <v>276</v>
      </c>
      <c r="AV320" s="110"/>
    </row>
    <row r="321" spans="43:48" hidden="1">
      <c r="AQ321" s="110">
        <v>277</v>
      </c>
      <c r="AV321" s="110"/>
    </row>
    <row r="322" spans="43:48" hidden="1">
      <c r="AQ322" s="110">
        <v>278</v>
      </c>
      <c r="AV322" s="110"/>
    </row>
    <row r="323" spans="43:48" hidden="1">
      <c r="AQ323" s="110">
        <v>279</v>
      </c>
      <c r="AV323" s="110"/>
    </row>
    <row r="324" spans="43:48" hidden="1">
      <c r="AQ324" s="110">
        <v>280</v>
      </c>
      <c r="AV324" s="110"/>
    </row>
    <row r="325" spans="43:48" hidden="1">
      <c r="AQ325" s="110">
        <v>281</v>
      </c>
      <c r="AV325" s="110"/>
    </row>
    <row r="326" spans="43:48" hidden="1">
      <c r="AQ326" s="110">
        <v>282</v>
      </c>
      <c r="AV326" s="110"/>
    </row>
    <row r="327" spans="43:48" hidden="1">
      <c r="AQ327" s="110">
        <v>283</v>
      </c>
      <c r="AV327" s="110"/>
    </row>
    <row r="328" spans="43:48" hidden="1">
      <c r="AQ328" s="110">
        <v>284</v>
      </c>
      <c r="AV328" s="110"/>
    </row>
    <row r="329" spans="43:48" hidden="1">
      <c r="AQ329" s="110">
        <v>285</v>
      </c>
      <c r="AV329" s="110"/>
    </row>
    <row r="330" spans="43:48" hidden="1">
      <c r="AQ330" s="110">
        <v>286</v>
      </c>
      <c r="AV330" s="110"/>
    </row>
    <row r="331" spans="43:48" hidden="1">
      <c r="AQ331" s="110">
        <v>287</v>
      </c>
      <c r="AV331" s="110"/>
    </row>
    <row r="332" spans="43:48" hidden="1">
      <c r="AQ332" s="110">
        <v>288</v>
      </c>
      <c r="AV332" s="110"/>
    </row>
    <row r="333" spans="43:48" hidden="1">
      <c r="AQ333" s="110">
        <v>289</v>
      </c>
      <c r="AV333" s="110"/>
    </row>
    <row r="334" spans="43:48" hidden="1">
      <c r="AQ334" s="110">
        <v>290</v>
      </c>
      <c r="AV334" s="110"/>
    </row>
    <row r="335" spans="43:48" hidden="1">
      <c r="AQ335" s="110">
        <v>291</v>
      </c>
      <c r="AV335" s="110"/>
    </row>
    <row r="336" spans="43:48" hidden="1">
      <c r="AQ336" s="110">
        <v>292</v>
      </c>
      <c r="AV336" s="110"/>
    </row>
    <row r="337" spans="43:48" hidden="1">
      <c r="AQ337" s="110">
        <v>293</v>
      </c>
      <c r="AV337" s="110"/>
    </row>
    <row r="338" spans="43:48" hidden="1">
      <c r="AQ338" s="110">
        <v>294</v>
      </c>
      <c r="AV338" s="110"/>
    </row>
    <row r="339" spans="43:48" hidden="1">
      <c r="AQ339" s="110">
        <v>295</v>
      </c>
      <c r="AV339" s="110"/>
    </row>
    <row r="340" spans="43:48" hidden="1">
      <c r="AQ340" s="110">
        <v>296</v>
      </c>
      <c r="AV340" s="110"/>
    </row>
    <row r="341" spans="43:48" hidden="1">
      <c r="AQ341" s="110">
        <v>297</v>
      </c>
      <c r="AV341" s="110"/>
    </row>
    <row r="342" spans="43:48" hidden="1">
      <c r="AQ342" s="110">
        <v>298</v>
      </c>
      <c r="AV342" s="110"/>
    </row>
    <row r="343" spans="43:48" hidden="1">
      <c r="AQ343" s="110">
        <v>299</v>
      </c>
      <c r="AV343" s="110"/>
    </row>
    <row r="344" spans="43:48" hidden="1">
      <c r="AQ344" s="110">
        <v>300</v>
      </c>
      <c r="AV344" s="110"/>
    </row>
  </sheetData>
  <sheetProtection password="E8FA" sheet="1" objects="1" scenarios="1" formatCells="0" formatColumns="0" formatRows="0" selectLockedCells="1"/>
  <mergeCells count="81">
    <mergeCell ref="B28:D28"/>
    <mergeCell ref="E28:G28"/>
    <mergeCell ref="F15:J15"/>
    <mergeCell ref="AL12:AO38"/>
    <mergeCell ref="AL4:AO5"/>
    <mergeCell ref="K4:K6"/>
    <mergeCell ref="L4:L6"/>
    <mergeCell ref="M4:M6"/>
    <mergeCell ref="N4:N6"/>
    <mergeCell ref="O4:O6"/>
    <mergeCell ref="P4:P6"/>
    <mergeCell ref="Q4:Q6"/>
    <mergeCell ref="AD4:AE5"/>
    <mergeCell ref="AF4:AG5"/>
    <mergeCell ref="R5:T5"/>
    <mergeCell ref="U5:W5"/>
    <mergeCell ref="K38:Q38"/>
    <mergeCell ref="X4:AC4"/>
    <mergeCell ref="AM3:AO3"/>
    <mergeCell ref="AD3:AL3"/>
    <mergeCell ref="R4:W4"/>
    <mergeCell ref="AL11:AO11"/>
    <mergeCell ref="AL9:AL10"/>
    <mergeCell ref="AM9:AM10"/>
    <mergeCell ref="AN9:AN10"/>
    <mergeCell ref="E21:G21"/>
    <mergeCell ref="E20:G20"/>
    <mergeCell ref="E19:G19"/>
    <mergeCell ref="B23:D23"/>
    <mergeCell ref="B22:D22"/>
    <mergeCell ref="B21:D21"/>
    <mergeCell ref="B20:D20"/>
    <mergeCell ref="B19:D19"/>
    <mergeCell ref="H23:J23"/>
    <mergeCell ref="H22:J22"/>
    <mergeCell ref="AY4:AZ4"/>
    <mergeCell ref="AR4:AS4"/>
    <mergeCell ref="AT4:AU4"/>
    <mergeCell ref="AO9:AO10"/>
    <mergeCell ref="AL7:AL8"/>
    <mergeCell ref="AM7:AM8"/>
    <mergeCell ref="AN7:AN8"/>
    <mergeCell ref="AO7:AO8"/>
    <mergeCell ref="X5:Z5"/>
    <mergeCell ref="AA5:AC5"/>
    <mergeCell ref="B14:J14"/>
    <mergeCell ref="B15:E15"/>
    <mergeCell ref="E23:G23"/>
    <mergeCell ref="E22:G22"/>
    <mergeCell ref="AP2:AP38"/>
    <mergeCell ref="AW4:AX4"/>
    <mergeCell ref="B3:J3"/>
    <mergeCell ref="H4:H8"/>
    <mergeCell ref="G4:G8"/>
    <mergeCell ref="F4:F8"/>
    <mergeCell ref="D5:D8"/>
    <mergeCell ref="J5:J8"/>
    <mergeCell ref="B24:D24"/>
    <mergeCell ref="E24:G24"/>
    <mergeCell ref="AH4:AI5"/>
    <mergeCell ref="AJ4:AK5"/>
    <mergeCell ref="H24:J24"/>
    <mergeCell ref="H21:J21"/>
    <mergeCell ref="H20:J20"/>
    <mergeCell ref="H19:J19"/>
    <mergeCell ref="B26:J26"/>
    <mergeCell ref="B39:AP39"/>
    <mergeCell ref="A2:A39"/>
    <mergeCell ref="A1:AP1"/>
    <mergeCell ref="B2:AO2"/>
    <mergeCell ref="E5:E8"/>
    <mergeCell ref="B27:D27"/>
    <mergeCell ref="B18:J18"/>
    <mergeCell ref="K3:AC3"/>
    <mergeCell ref="B25:D25"/>
    <mergeCell ref="E25:G25"/>
    <mergeCell ref="H25:J25"/>
    <mergeCell ref="C4:C8"/>
    <mergeCell ref="B4:B8"/>
    <mergeCell ref="E27:G27"/>
    <mergeCell ref="H27:J27"/>
  </mergeCells>
  <conditionalFormatting sqref="R7:AK37 P7:P37">
    <cfRule type="cellIs" dxfId="29" priority="18" operator="equal">
      <formula>0</formula>
    </cfRule>
  </conditionalFormatting>
  <conditionalFormatting sqref="K7:AK37">
    <cfRule type="expression" dxfId="28" priority="19">
      <formula>$O7="Holiday"</formula>
    </cfRule>
  </conditionalFormatting>
  <conditionalFormatting sqref="AQ38 AR7:AU37 AW7:AZ37">
    <cfRule type="cellIs" dxfId="27" priority="7" operator="greaterThan">
      <formula>0</formula>
    </cfRule>
  </conditionalFormatting>
  <dataValidations count="2">
    <dataValidation type="list" allowBlank="1" showInputMessage="1" showErrorMessage="1" sqref="N7:N37">
      <formula1>$AQ$3:$AQ$43</formula1>
    </dataValidation>
    <dataValidation type="list" allowBlank="1" showInputMessage="1" showErrorMessage="1" sqref="P7:P37">
      <formula1>$E$20:$E$27</formula1>
    </dataValidation>
  </dataValidations>
  <pageMargins left="0.45" right="0.19" top="0.21" bottom="0.18" header="0.19" footer="0.16"/>
  <pageSetup scale="79" orientation="portrait" r:id="rId1"/>
  <drawing r:id="rId2"/>
  <legacyDrawing r:id="rId3"/>
</worksheet>
</file>

<file path=xl/worksheets/sheet5.xml><?xml version="1.0" encoding="utf-8"?>
<worksheet xmlns="http://schemas.openxmlformats.org/spreadsheetml/2006/main" xmlns:r="http://schemas.openxmlformats.org/officeDocument/2006/relationships">
  <sheetPr>
    <tabColor rgb="FFFF0000"/>
  </sheetPr>
  <dimension ref="A1:XFC344"/>
  <sheetViews>
    <sheetView showGridLines="0" zoomScale="85" zoomScaleNormal="85" workbookViewId="0">
      <selection activeCell="AC7" sqref="AC7"/>
    </sheetView>
  </sheetViews>
  <sheetFormatPr defaultColWidth="0" defaultRowHeight="0" customHeight="1" zeroHeight="1"/>
  <cols>
    <col min="1" max="1" width="1.28515625" style="5" customWidth="1"/>
    <col min="2" max="2" width="9.7109375" style="5" customWidth="1"/>
    <col min="3" max="3" width="10.42578125" style="5" customWidth="1"/>
    <col min="4" max="4" width="11.5703125" style="5" customWidth="1"/>
    <col min="5" max="5" width="13" style="5" customWidth="1"/>
    <col min="6" max="6" width="9.5703125" style="5" customWidth="1"/>
    <col min="7" max="7" width="9.85546875" style="5" customWidth="1"/>
    <col min="8" max="8" width="9.5703125" style="5" customWidth="1"/>
    <col min="9" max="9" width="7.5703125" style="5" hidden="1" customWidth="1"/>
    <col min="10" max="10" width="12" style="5" customWidth="1"/>
    <col min="11" max="11" width="5.7109375" style="5" hidden="1" customWidth="1"/>
    <col min="12" max="12" width="4.42578125" style="5" customWidth="1"/>
    <col min="13" max="15" width="10.85546875" style="5" customWidth="1"/>
    <col min="16" max="16" width="11.7109375" style="5" hidden="1" customWidth="1"/>
    <col min="17" max="17" width="11.42578125" style="5" hidden="1" customWidth="1"/>
    <col min="18" max="18" width="9.140625" style="5" hidden="1" customWidth="1"/>
    <col min="19" max="23" width="6.85546875" style="5" hidden="1" customWidth="1"/>
    <col min="24" max="24" width="6.140625" style="5" hidden="1" customWidth="1"/>
    <col min="25" max="26" width="6.85546875" style="5" hidden="1" customWidth="1"/>
    <col min="27" max="27" width="6.28515625" style="5" hidden="1" customWidth="1"/>
    <col min="28" max="28" width="8.7109375" style="5" hidden="1" customWidth="1"/>
    <col min="29" max="33" width="7.140625" style="5" customWidth="1"/>
    <col min="34" max="34" width="6.140625" style="5" customWidth="1"/>
    <col min="35" max="37" width="7.140625" style="5" customWidth="1"/>
    <col min="38" max="38" width="6.140625" style="5" customWidth="1"/>
    <col min="39" max="43" width="11.85546875" style="74" customWidth="1"/>
    <col min="44" max="46" width="11.85546875" style="5" customWidth="1"/>
    <col min="47" max="47" width="25.140625" style="5" customWidth="1"/>
    <col min="48" max="58" width="7.7109375" style="5" hidden="1"/>
    <col min="59" max="59" width="7.7109375" style="22" hidden="1"/>
    <col min="60" max="16383" width="7.7109375" style="5" hidden="1"/>
    <col min="16384" max="16384" width="9.28515625" style="5" customWidth="1"/>
  </cols>
  <sheetData>
    <row r="1" spans="1:68" ht="6" customHeight="1" thickBot="1">
      <c r="A1" s="673"/>
      <c r="B1" s="673"/>
      <c r="C1" s="673"/>
      <c r="D1" s="673"/>
      <c r="E1" s="673"/>
      <c r="F1" s="673"/>
      <c r="G1" s="673"/>
      <c r="H1" s="673"/>
      <c r="I1" s="673"/>
      <c r="J1" s="673"/>
      <c r="K1" s="673"/>
      <c r="L1" s="673"/>
      <c r="M1" s="673"/>
      <c r="N1" s="673"/>
      <c r="O1" s="673"/>
      <c r="P1" s="673"/>
      <c r="Q1" s="673"/>
      <c r="R1" s="673"/>
      <c r="S1" s="673"/>
      <c r="T1" s="673"/>
      <c r="U1" s="673"/>
      <c r="V1" s="673"/>
      <c r="W1" s="673"/>
      <c r="X1" s="673"/>
      <c r="Y1" s="673"/>
      <c r="Z1" s="673"/>
      <c r="AA1" s="673"/>
      <c r="AB1" s="673"/>
      <c r="AC1" s="673"/>
      <c r="AD1" s="673"/>
      <c r="AE1" s="673"/>
      <c r="AF1" s="673"/>
      <c r="AG1" s="673"/>
      <c r="AH1" s="673"/>
      <c r="AI1" s="673"/>
      <c r="AJ1" s="673"/>
      <c r="AK1" s="673"/>
      <c r="AL1" s="673"/>
      <c r="AM1" s="673"/>
      <c r="AN1" s="673"/>
      <c r="AO1" s="673"/>
      <c r="AP1" s="673"/>
      <c r="AQ1" s="673"/>
      <c r="AR1" s="673"/>
      <c r="AS1" s="673"/>
      <c r="AT1" s="673"/>
      <c r="AU1" s="673"/>
    </row>
    <row r="2" spans="1:68" ht="38.25" customHeight="1" thickBot="1">
      <c r="A2" s="673"/>
      <c r="B2" s="780" t="str">
        <f ca="1">'Food-Data Entry'!B2</f>
        <v>Office: Govt. Sr. Sec. School Raimalwada, Bapini (Jodhpur)</v>
      </c>
      <c r="C2" s="781"/>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c r="AH2" s="781"/>
      <c r="AI2" s="781"/>
      <c r="AJ2" s="781"/>
      <c r="AK2" s="781"/>
      <c r="AL2" s="781"/>
      <c r="AM2" s="781"/>
      <c r="AN2" s="781"/>
      <c r="AO2" s="781"/>
      <c r="AP2" s="781"/>
      <c r="AQ2" s="781"/>
      <c r="AR2" s="781"/>
      <c r="AS2" s="781"/>
      <c r="AT2" s="782"/>
      <c r="AU2" s="914" t="s">
        <v>291</v>
      </c>
    </row>
    <row r="3" spans="1:68" ht="31.5" customHeight="1" thickBot="1">
      <c r="A3" s="673"/>
      <c r="B3" s="916" t="s">
        <v>292</v>
      </c>
      <c r="C3" s="917"/>
      <c r="D3" s="917"/>
      <c r="E3" s="917"/>
      <c r="F3" s="917"/>
      <c r="G3" s="917"/>
      <c r="H3" s="917"/>
      <c r="I3" s="917"/>
      <c r="J3" s="918"/>
      <c r="K3" s="109"/>
      <c r="L3" s="789" t="s">
        <v>281</v>
      </c>
      <c r="M3" s="790"/>
      <c r="N3" s="790"/>
      <c r="O3" s="790"/>
      <c r="P3" s="790"/>
      <c r="Q3" s="790"/>
      <c r="R3" s="790"/>
      <c r="S3" s="790"/>
      <c r="T3" s="790"/>
      <c r="U3" s="790"/>
      <c r="V3" s="790"/>
      <c r="W3" s="790"/>
      <c r="X3" s="790"/>
      <c r="Y3" s="790"/>
      <c r="Z3" s="790"/>
      <c r="AA3" s="790"/>
      <c r="AB3" s="790"/>
      <c r="AC3" s="790"/>
      <c r="AD3" s="790"/>
      <c r="AE3" s="790"/>
      <c r="AF3" s="790"/>
      <c r="AG3" s="790"/>
      <c r="AH3" s="790"/>
      <c r="AI3" s="790"/>
      <c r="AJ3" s="790"/>
      <c r="AK3" s="790"/>
      <c r="AL3" s="790"/>
      <c r="AM3" s="187"/>
      <c r="AN3" s="187"/>
      <c r="AO3" s="187"/>
      <c r="AP3" s="187"/>
      <c r="AQ3" s="946" t="str">
        <f>CONCATENATE('School Info'!I6,-'School Info'!K6)</f>
        <v>November-2025</v>
      </c>
      <c r="AR3" s="946"/>
      <c r="AS3" s="946"/>
      <c r="AT3" s="947"/>
      <c r="AU3" s="915"/>
      <c r="AV3" s="110" t="s">
        <v>103</v>
      </c>
      <c r="BA3" s="110"/>
    </row>
    <row r="4" spans="1:68" s="23" customFormat="1" ht="25.5" customHeight="1">
      <c r="A4" s="673"/>
      <c r="B4" s="959" t="s">
        <v>293</v>
      </c>
      <c r="C4" s="960"/>
      <c r="D4" s="182">
        <v>45748</v>
      </c>
      <c r="E4" s="186">
        <f>D4</f>
        <v>45748</v>
      </c>
      <c r="F4" s="811" t="s">
        <v>294</v>
      </c>
      <c r="G4" s="922" t="s">
        <v>295</v>
      </c>
      <c r="H4" s="922" t="s">
        <v>296</v>
      </c>
      <c r="I4" s="183" t="s">
        <v>297</v>
      </c>
      <c r="J4" s="184">
        <f>E4</f>
        <v>45748</v>
      </c>
      <c r="K4" s="61"/>
      <c r="L4" s="925" t="s">
        <v>122</v>
      </c>
      <c r="M4" s="928" t="s">
        <v>123</v>
      </c>
      <c r="N4" s="931" t="s">
        <v>51</v>
      </c>
      <c r="O4" s="889" t="s">
        <v>282</v>
      </c>
      <c r="P4" s="1777" t="s">
        <v>104</v>
      </c>
      <c r="Q4" s="965" t="s">
        <v>283</v>
      </c>
      <c r="R4" s="1774" t="s">
        <v>49</v>
      </c>
      <c r="S4" s="1770" t="s">
        <v>147</v>
      </c>
      <c r="T4" s="860"/>
      <c r="U4" s="860"/>
      <c r="V4" s="860"/>
      <c r="W4" s="860"/>
      <c r="X4" s="860"/>
      <c r="Y4" s="860"/>
      <c r="Z4" s="860"/>
      <c r="AA4" s="860"/>
      <c r="AB4" s="1771"/>
      <c r="AC4" s="919" t="s">
        <v>284</v>
      </c>
      <c r="AD4" s="920"/>
      <c r="AE4" s="920"/>
      <c r="AF4" s="920"/>
      <c r="AG4" s="920"/>
      <c r="AH4" s="920"/>
      <c r="AI4" s="920"/>
      <c r="AJ4" s="920"/>
      <c r="AK4" s="920"/>
      <c r="AL4" s="921"/>
      <c r="AM4" s="906" t="s">
        <v>299</v>
      </c>
      <c r="AN4" s="907"/>
      <c r="AO4" s="906" t="s">
        <v>431</v>
      </c>
      <c r="AP4" s="907"/>
      <c r="AQ4" s="822" t="s">
        <v>432</v>
      </c>
      <c r="AR4" s="823"/>
      <c r="AS4" s="822" t="s">
        <v>300</v>
      </c>
      <c r="AT4" s="823"/>
      <c r="AU4" s="915"/>
      <c r="AV4" s="110" t="s">
        <v>73</v>
      </c>
      <c r="AW4" s="809" t="s">
        <v>118</v>
      </c>
      <c r="AX4" s="809"/>
      <c r="AY4" s="809" t="s">
        <v>119</v>
      </c>
      <c r="AZ4" s="809"/>
      <c r="BA4" s="110"/>
      <c r="BB4" s="809" t="s">
        <v>118</v>
      </c>
      <c r="BC4" s="809"/>
      <c r="BD4" s="809" t="s">
        <v>119</v>
      </c>
      <c r="BE4" s="809"/>
      <c r="BG4" s="110"/>
    </row>
    <row r="5" spans="1:68" s="23" customFormat="1" ht="22.5" customHeight="1" thickBot="1">
      <c r="A5" s="673"/>
      <c r="B5" s="961"/>
      <c r="C5" s="962"/>
      <c r="D5" s="812" t="s">
        <v>275</v>
      </c>
      <c r="E5" s="812" t="s">
        <v>298</v>
      </c>
      <c r="F5" s="783"/>
      <c r="G5" s="923"/>
      <c r="H5" s="923"/>
      <c r="I5" s="185"/>
      <c r="J5" s="948" t="s">
        <v>279</v>
      </c>
      <c r="K5" s="41"/>
      <c r="L5" s="926"/>
      <c r="M5" s="929"/>
      <c r="N5" s="932"/>
      <c r="O5" s="831"/>
      <c r="P5" s="1778"/>
      <c r="Q5" s="966"/>
      <c r="R5" s="1775"/>
      <c r="S5" s="1772" t="s">
        <v>55</v>
      </c>
      <c r="T5" s="897"/>
      <c r="U5" s="897"/>
      <c r="V5" s="897"/>
      <c r="W5" s="897"/>
      <c r="X5" s="897"/>
      <c r="Y5" s="898" t="s">
        <v>25</v>
      </c>
      <c r="Z5" s="899"/>
      <c r="AA5" s="899"/>
      <c r="AB5" s="899"/>
      <c r="AC5" s="901" t="s">
        <v>128</v>
      </c>
      <c r="AD5" s="902"/>
      <c r="AE5" s="902"/>
      <c r="AF5" s="902"/>
      <c r="AG5" s="902"/>
      <c r="AH5" s="902"/>
      <c r="AI5" s="903" t="s">
        <v>129</v>
      </c>
      <c r="AJ5" s="904"/>
      <c r="AK5" s="904"/>
      <c r="AL5" s="905"/>
      <c r="AM5" s="908"/>
      <c r="AN5" s="909"/>
      <c r="AO5" s="910"/>
      <c r="AP5" s="911"/>
      <c r="AQ5" s="912"/>
      <c r="AR5" s="913"/>
      <c r="AS5" s="912"/>
      <c r="AT5" s="913"/>
      <c r="AU5" s="915"/>
      <c r="AV5" s="110" t="s">
        <v>74</v>
      </c>
      <c r="AW5" s="23" t="s">
        <v>120</v>
      </c>
      <c r="AX5" s="23" t="s">
        <v>153</v>
      </c>
      <c r="AY5" s="23" t="s">
        <v>120</v>
      </c>
      <c r="AZ5" s="23" t="s">
        <v>153</v>
      </c>
      <c r="BA5" s="110"/>
      <c r="BB5" s="23" t="s">
        <v>120</v>
      </c>
      <c r="BC5" s="23" t="s">
        <v>153</v>
      </c>
      <c r="BD5" s="23" t="s">
        <v>120</v>
      </c>
      <c r="BE5" s="23" t="s">
        <v>153</v>
      </c>
      <c r="BG5" s="110"/>
    </row>
    <row r="6" spans="1:68" s="23" customFormat="1" ht="21.75" customHeight="1" thickBot="1">
      <c r="A6" s="673"/>
      <c r="B6" s="961"/>
      <c r="C6" s="962"/>
      <c r="D6" s="812"/>
      <c r="E6" s="812"/>
      <c r="F6" s="783"/>
      <c r="G6" s="923"/>
      <c r="H6" s="923"/>
      <c r="I6" s="185"/>
      <c r="J6" s="948"/>
      <c r="K6" s="41"/>
      <c r="L6" s="927"/>
      <c r="M6" s="930"/>
      <c r="N6" s="933"/>
      <c r="O6" s="865"/>
      <c r="P6" s="1779"/>
      <c r="Q6" s="967"/>
      <c r="R6" s="1776"/>
      <c r="S6" s="1773" t="s">
        <v>181</v>
      </c>
      <c r="T6" s="1773" t="s">
        <v>182</v>
      </c>
      <c r="U6" s="1773" t="s">
        <v>183</v>
      </c>
      <c r="V6" s="1773" t="s">
        <v>184</v>
      </c>
      <c r="W6" s="1773" t="s">
        <v>185</v>
      </c>
      <c r="X6" s="72" t="s">
        <v>19</v>
      </c>
      <c r="Y6" s="1773" t="s">
        <v>186</v>
      </c>
      <c r="Z6" s="1773" t="s">
        <v>187</v>
      </c>
      <c r="AA6" s="1773" t="s">
        <v>188</v>
      </c>
      <c r="AB6" s="73" t="s">
        <v>19</v>
      </c>
      <c r="AC6" s="178" t="s">
        <v>191</v>
      </c>
      <c r="AD6" s="178" t="s">
        <v>192</v>
      </c>
      <c r="AE6" s="178" t="s">
        <v>193</v>
      </c>
      <c r="AF6" s="178" t="s">
        <v>194</v>
      </c>
      <c r="AG6" s="178" t="s">
        <v>195</v>
      </c>
      <c r="AH6" s="175" t="s">
        <v>130</v>
      </c>
      <c r="AI6" s="178" t="s">
        <v>196</v>
      </c>
      <c r="AJ6" s="178" t="s">
        <v>197</v>
      </c>
      <c r="AK6" s="178" t="s">
        <v>198</v>
      </c>
      <c r="AL6" s="267" t="s">
        <v>130</v>
      </c>
      <c r="AM6" s="367" t="s">
        <v>254</v>
      </c>
      <c r="AN6" s="368" t="s">
        <v>255</v>
      </c>
      <c r="AO6" s="369" t="s">
        <v>254</v>
      </c>
      <c r="AP6" s="370" t="s">
        <v>255</v>
      </c>
      <c r="AQ6" s="369" t="s">
        <v>254</v>
      </c>
      <c r="AR6" s="370" t="s">
        <v>255</v>
      </c>
      <c r="AS6" s="369" t="s">
        <v>254</v>
      </c>
      <c r="AT6" s="371" t="s">
        <v>255</v>
      </c>
      <c r="AU6" s="873"/>
      <c r="AV6" s="110"/>
      <c r="BA6" s="110"/>
      <c r="BG6" s="110"/>
    </row>
    <row r="7" spans="1:68" s="23" customFormat="1" ht="23.25" customHeight="1">
      <c r="A7" s="673"/>
      <c r="B7" s="961"/>
      <c r="C7" s="962"/>
      <c r="D7" s="812"/>
      <c r="E7" s="812"/>
      <c r="F7" s="783"/>
      <c r="G7" s="923"/>
      <c r="H7" s="923"/>
      <c r="I7" s="185"/>
      <c r="J7" s="948"/>
      <c r="K7" s="41">
        <f>BG7</f>
        <v>1</v>
      </c>
      <c r="L7" s="29">
        <f>IF('School Info'!$W$7&gt;0,1,"--")</f>
        <v>1</v>
      </c>
      <c r="M7" s="7">
        <f>'School Info'!T6</f>
        <v>45962</v>
      </c>
      <c r="N7" s="6" t="str">
        <f>TEXT(M7,"dddd")</f>
        <v>Saturday</v>
      </c>
      <c r="O7" s="64" t="str">
        <f t="shared" ref="O7:O37" si="0">IF(N7="Sunday","रवि॰अव॰",IF(N7="---","---","खुला"))</f>
        <v>खुला</v>
      </c>
      <c r="P7" s="6" t="str">
        <f>IF(O7="खुला",N7,IF(O7="---","---","Holiday"))</f>
        <v>Saturday</v>
      </c>
      <c r="Q7" s="71" t="str">
        <f>IF(OR(P7="Holiday",P7="---"),"---","Milk")</f>
        <v>Milk</v>
      </c>
      <c r="R7" s="6" t="str">
        <f>IF(Q7="Milk","M","---")</f>
        <v>M</v>
      </c>
      <c r="S7" s="135">
        <f>'School Info'!P12</f>
        <v>53</v>
      </c>
      <c r="T7" s="156">
        <f>'School Info'!P13</f>
        <v>61</v>
      </c>
      <c r="U7" s="156">
        <f>'School Info'!P14</f>
        <v>69</v>
      </c>
      <c r="V7" s="156">
        <f>'School Info'!P15</f>
        <v>77</v>
      </c>
      <c r="W7" s="136">
        <f>'School Info'!P16</f>
        <v>85</v>
      </c>
      <c r="X7" s="157">
        <f>SUM(S7:W7)</f>
        <v>345</v>
      </c>
      <c r="Y7" s="136">
        <f>'School Info'!P19</f>
        <v>93</v>
      </c>
      <c r="Z7" s="136">
        <f>'School Info'!P20</f>
        <v>101</v>
      </c>
      <c r="AA7" s="136">
        <f>'School Info'!P21</f>
        <v>109</v>
      </c>
      <c r="AB7" s="157">
        <f>SUM(Y7:AA7)</f>
        <v>303</v>
      </c>
      <c r="AC7" s="148">
        <v>10</v>
      </c>
      <c r="AD7" s="148">
        <v>7</v>
      </c>
      <c r="AE7" s="148">
        <v>2</v>
      </c>
      <c r="AF7" s="148">
        <v>3</v>
      </c>
      <c r="AG7" s="148">
        <v>8</v>
      </c>
      <c r="AH7" s="157">
        <f>SUM(AC7:AG7)</f>
        <v>30</v>
      </c>
      <c r="AI7" s="148">
        <v>5</v>
      </c>
      <c r="AJ7" s="148">
        <v>7</v>
      </c>
      <c r="AK7" s="148"/>
      <c r="AL7" s="366">
        <f>SUM(AI7:AK7)</f>
        <v>12</v>
      </c>
      <c r="AM7" s="508"/>
      <c r="AN7" s="529"/>
      <c r="AO7" s="508"/>
      <c r="AP7" s="530"/>
      <c r="AQ7" s="508"/>
      <c r="AR7" s="529"/>
      <c r="AS7" s="508"/>
      <c r="AT7" s="509"/>
      <c r="AU7" s="873"/>
      <c r="AV7" s="110" t="s">
        <v>75</v>
      </c>
      <c r="AW7" s="24">
        <f>AH7</f>
        <v>30</v>
      </c>
      <c r="AX7" s="24">
        <f>AH7</f>
        <v>30</v>
      </c>
      <c r="AY7" s="24">
        <f>AL7</f>
        <v>12</v>
      </c>
      <c r="AZ7" s="24">
        <f>AL7</f>
        <v>12</v>
      </c>
      <c r="BA7" s="110"/>
      <c r="BB7" s="25">
        <f>AW7*'School Info'!$C$21/1000</f>
        <v>0.45</v>
      </c>
      <c r="BC7" s="25">
        <f>(AX7*'School Info'!$C$22/1000)</f>
        <v>0.252</v>
      </c>
      <c r="BD7" s="25">
        <f>AY7*'School Info'!$E$21/1000</f>
        <v>0.24</v>
      </c>
      <c r="BE7" s="25">
        <f>(AZ7*'School Info'!$E$22/1000)</f>
        <v>0.12239999999999999</v>
      </c>
      <c r="BG7" s="110">
        <f>IF(OR(AH7&gt;0,AL7&gt;0),1,0)</f>
        <v>1</v>
      </c>
      <c r="BH7" s="110" t="str">
        <f>IF(BG7&gt;0,"A","N")</f>
        <v>A</v>
      </c>
      <c r="BI7" s="480">
        <f>AM7</f>
        <v>0</v>
      </c>
      <c r="BJ7" s="480">
        <f>AN7</f>
        <v>0</v>
      </c>
      <c r="BK7" s="480">
        <f>AO7</f>
        <v>0</v>
      </c>
      <c r="BL7" s="480">
        <f>AP7:AP13</f>
        <v>0</v>
      </c>
      <c r="BM7" s="480">
        <f t="shared" ref="BM7" si="1">SUM(AQ7:AQ13)</f>
        <v>0</v>
      </c>
      <c r="BN7" s="480">
        <f t="shared" ref="BN7" si="2">SUM(AR7:AR13)</f>
        <v>0</v>
      </c>
      <c r="BO7" s="480">
        <f t="shared" ref="BO7" si="3">SUM(AS7:AS13)</f>
        <v>0</v>
      </c>
      <c r="BP7" s="480">
        <f t="shared" ref="BP7" si="4">SUM(AT7:AT13)</f>
        <v>0</v>
      </c>
    </row>
    <row r="8" spans="1:68" s="23" customFormat="1" ht="23.25" customHeight="1">
      <c r="A8" s="673"/>
      <c r="B8" s="963"/>
      <c r="C8" s="964"/>
      <c r="D8" s="813"/>
      <c r="E8" s="813"/>
      <c r="F8" s="784"/>
      <c r="G8" s="924"/>
      <c r="H8" s="924"/>
      <c r="I8" s="185"/>
      <c r="J8" s="949"/>
      <c r="K8" s="41">
        <f t="shared" ref="K8:K37" si="5">BG8</f>
        <v>0</v>
      </c>
      <c r="L8" s="30">
        <f>IF('School Info'!$W$7&gt;0,L7+1,"--")</f>
        <v>2</v>
      </c>
      <c r="M8" s="9">
        <f>M7+1</f>
        <v>45963</v>
      </c>
      <c r="N8" s="8" t="str">
        <f t="shared" ref="N8:N37" si="6">TEXT(M8,"dddd")</f>
        <v>Sunday</v>
      </c>
      <c r="O8" s="64" t="str">
        <f t="shared" si="0"/>
        <v>रवि॰अव॰</v>
      </c>
      <c r="P8" s="6" t="str">
        <f t="shared" ref="P8:P37" si="7">IF(O8="खुला",N8,IF(O8="---","---","Holiday"))</f>
        <v>Holiday</v>
      </c>
      <c r="Q8" s="71" t="str">
        <f t="shared" ref="Q8:Q37" si="8">IF(OR(P8="Holiday",P8="---"),"---","Milk")</f>
        <v>---</v>
      </c>
      <c r="R8" s="6" t="str">
        <f t="shared" ref="R8:R37" si="9">IF(Q8="Milk","M","---")</f>
        <v>---</v>
      </c>
      <c r="S8" s="141">
        <f>IF('School Info'!$W$7&gt;=$L8,S7,"---")</f>
        <v>53</v>
      </c>
      <c r="T8" s="141">
        <f>IF('School Info'!$W$7&gt;=$L8,T7,"---")</f>
        <v>61</v>
      </c>
      <c r="U8" s="141">
        <f>IF('School Info'!$W$7&gt;=$L8,U7,"---")</f>
        <v>69</v>
      </c>
      <c r="V8" s="141">
        <f>IF('School Info'!$W$7&gt;=$L8,V7,"---")</f>
        <v>77</v>
      </c>
      <c r="W8" s="141">
        <f>IF('School Info'!$W$7&gt;=$L8,W7,"---")</f>
        <v>85</v>
      </c>
      <c r="X8" s="158">
        <f>SUM(S8:W8)</f>
        <v>345</v>
      </c>
      <c r="Y8" s="141">
        <f>IF('School Info'!$W$7&gt;=$L8,Y7,"---")</f>
        <v>93</v>
      </c>
      <c r="Z8" s="141">
        <f>IF('School Info'!$W$7&gt;=$L8,Z7,"---")</f>
        <v>101</v>
      </c>
      <c r="AA8" s="141">
        <f>IF('School Info'!$W$7&gt;=$L8,AA7,"---")</f>
        <v>109</v>
      </c>
      <c r="AB8" s="157">
        <f>SUM(Y8:AA8)</f>
        <v>303</v>
      </c>
      <c r="AC8" s="148"/>
      <c r="AD8" s="148"/>
      <c r="AE8" s="148"/>
      <c r="AF8" s="148"/>
      <c r="AG8" s="148"/>
      <c r="AH8" s="157">
        <f t="shared" ref="AH8:AH37" si="10">SUM(AC8:AG8)</f>
        <v>0</v>
      </c>
      <c r="AI8" s="148"/>
      <c r="AJ8" s="148"/>
      <c r="AK8" s="148"/>
      <c r="AL8" s="366">
        <f t="shared" ref="AL8:AL37" si="11">SUM(AI8:AK8)</f>
        <v>0</v>
      </c>
      <c r="AM8" s="510"/>
      <c r="AN8" s="531"/>
      <c r="AO8" s="510"/>
      <c r="AP8" s="531"/>
      <c r="AQ8" s="510"/>
      <c r="AR8" s="531"/>
      <c r="AS8" s="510"/>
      <c r="AT8" s="511"/>
      <c r="AU8" s="873"/>
      <c r="AV8" s="110" t="s">
        <v>76</v>
      </c>
      <c r="AW8" s="24">
        <f t="shared" ref="AW8:AW37" si="12">AH8</f>
        <v>0</v>
      </c>
      <c r="AX8" s="24">
        <f t="shared" ref="AX8:AX37" si="13">AH8</f>
        <v>0</v>
      </c>
      <c r="AY8" s="24">
        <f t="shared" ref="AY8:AY37" si="14">AL8</f>
        <v>0</v>
      </c>
      <c r="AZ8" s="24">
        <f t="shared" ref="AZ8:AZ37" si="15">AL8</f>
        <v>0</v>
      </c>
      <c r="BA8" s="110"/>
      <c r="BB8" s="25">
        <f>AW8*'School Info'!$C$21/1000</f>
        <v>0</v>
      </c>
      <c r="BC8" s="25">
        <f>(AX8*'School Info'!$C$22/1000)</f>
        <v>0</v>
      </c>
      <c r="BD8" s="25">
        <f>AY8*'School Info'!$E$21/1000</f>
        <v>0</v>
      </c>
      <c r="BE8" s="25">
        <f>(AZ8*'School Info'!$E$22/1000)</f>
        <v>0</v>
      </c>
      <c r="BG8" s="110">
        <f>IF(OR(AH8&gt;0,AL8&gt;0),MAX(BG7)+1,0)</f>
        <v>0</v>
      </c>
      <c r="BH8" s="110" t="str">
        <f t="shared" ref="BH8:BH13" si="16">IF(BG8&gt;0,"A","N")</f>
        <v>N</v>
      </c>
      <c r="BI8" s="481"/>
      <c r="BJ8" s="481"/>
      <c r="BK8" s="481"/>
      <c r="BL8" s="481"/>
      <c r="BM8" s="481"/>
      <c r="BN8" s="481"/>
      <c r="BO8" s="481"/>
      <c r="BP8" s="481"/>
    </row>
    <row r="9" spans="1:68" ht="23.25" customHeight="1" thickBot="1">
      <c r="A9" s="673"/>
      <c r="B9" s="968">
        <v>1</v>
      </c>
      <c r="C9" s="969"/>
      <c r="D9" s="16">
        <v>3</v>
      </c>
      <c r="E9" s="16">
        <v>4</v>
      </c>
      <c r="F9" s="16">
        <v>5</v>
      </c>
      <c r="G9" s="16">
        <v>6</v>
      </c>
      <c r="H9" s="16">
        <v>7</v>
      </c>
      <c r="I9" s="16">
        <v>7</v>
      </c>
      <c r="J9" s="80">
        <v>8</v>
      </c>
      <c r="K9" s="41">
        <f t="shared" si="5"/>
        <v>0</v>
      </c>
      <c r="L9" s="30">
        <f>IF('School Info'!$W$7&gt;0,L8+1,"--")</f>
        <v>3</v>
      </c>
      <c r="M9" s="9">
        <f t="shared" ref="M9:M33" si="17">M8+1</f>
        <v>45964</v>
      </c>
      <c r="N9" s="8" t="str">
        <f t="shared" si="6"/>
        <v>Monday</v>
      </c>
      <c r="O9" s="64" t="str">
        <f t="shared" si="0"/>
        <v>खुला</v>
      </c>
      <c r="P9" s="6" t="str">
        <f t="shared" si="7"/>
        <v>Monday</v>
      </c>
      <c r="Q9" s="71" t="str">
        <f t="shared" si="8"/>
        <v>Milk</v>
      </c>
      <c r="R9" s="6" t="str">
        <f t="shared" si="9"/>
        <v>M</v>
      </c>
      <c r="S9" s="141">
        <f>IF('School Info'!$W$7&gt;=$L9,S8,"---")</f>
        <v>53</v>
      </c>
      <c r="T9" s="141">
        <f>IF('School Info'!$W$7&gt;=$L9,T8,"---")</f>
        <v>61</v>
      </c>
      <c r="U9" s="141">
        <f>IF('School Info'!$W$7&gt;=$L9,U8,"---")</f>
        <v>69</v>
      </c>
      <c r="V9" s="141">
        <f>IF('School Info'!$W$7&gt;=$L9,V8,"---")</f>
        <v>77</v>
      </c>
      <c r="W9" s="141">
        <f>IF('School Info'!$W$7&gt;=$L9,W8,"---")</f>
        <v>85</v>
      </c>
      <c r="X9" s="158">
        <f t="shared" ref="X9:X37" si="18">SUM(S9:W9)</f>
        <v>345</v>
      </c>
      <c r="Y9" s="141">
        <f>IF('School Info'!$W$7&gt;=$L9,Y8,"---")</f>
        <v>93</v>
      </c>
      <c r="Z9" s="141">
        <f>IF('School Info'!$W$7&gt;=$L9,Z8,"---")</f>
        <v>101</v>
      </c>
      <c r="AA9" s="141">
        <f>IF('School Info'!$W$7&gt;=$L9,AA8,"---")</f>
        <v>109</v>
      </c>
      <c r="AB9" s="157">
        <f t="shared" ref="AB9:AB37" si="19">SUM(Y9:AA9)</f>
        <v>303</v>
      </c>
      <c r="AC9" s="148"/>
      <c r="AD9" s="148"/>
      <c r="AE9" s="148"/>
      <c r="AF9" s="148"/>
      <c r="AG9" s="148"/>
      <c r="AH9" s="157">
        <f t="shared" si="10"/>
        <v>0</v>
      </c>
      <c r="AI9" s="148"/>
      <c r="AJ9" s="148"/>
      <c r="AK9" s="148"/>
      <c r="AL9" s="366">
        <f t="shared" si="11"/>
        <v>0</v>
      </c>
      <c r="AM9" s="510"/>
      <c r="AN9" s="531"/>
      <c r="AO9" s="510"/>
      <c r="AP9" s="531"/>
      <c r="AQ9" s="510">
        <v>0</v>
      </c>
      <c r="AR9" s="531">
        <v>0</v>
      </c>
      <c r="AS9" s="510">
        <v>0</v>
      </c>
      <c r="AT9" s="511">
        <v>0</v>
      </c>
      <c r="AU9" s="873"/>
      <c r="AV9" s="110" t="s">
        <v>77</v>
      </c>
      <c r="AW9" s="24">
        <f t="shared" si="12"/>
        <v>0</v>
      </c>
      <c r="AX9" s="24">
        <f t="shared" si="13"/>
        <v>0</v>
      </c>
      <c r="AY9" s="24">
        <f t="shared" si="14"/>
        <v>0</v>
      </c>
      <c r="AZ9" s="24">
        <f t="shared" si="15"/>
        <v>0</v>
      </c>
      <c r="BA9" s="110"/>
      <c r="BB9" s="25">
        <f>AW9*'School Info'!$C$21/1000</f>
        <v>0</v>
      </c>
      <c r="BC9" s="25">
        <f>(AX9*'School Info'!$C$22/1000)</f>
        <v>0</v>
      </c>
      <c r="BD9" s="25">
        <f>AY9*'School Info'!$E$21/1000</f>
        <v>0</v>
      </c>
      <c r="BE9" s="25">
        <f>(AZ9*'School Info'!$E$22/1000)</f>
        <v>0</v>
      </c>
      <c r="BG9" s="110">
        <f>IF(OR(AH9&gt;0,AL9&gt;0),MAX($BG$7:BG8)+1,0)</f>
        <v>0</v>
      </c>
      <c r="BH9" s="110" t="str">
        <f t="shared" si="16"/>
        <v>N</v>
      </c>
      <c r="BI9" s="481"/>
      <c r="BJ9" s="481"/>
      <c r="BK9" s="481"/>
      <c r="BL9" s="481"/>
      <c r="BM9" s="481"/>
      <c r="BN9" s="481"/>
      <c r="BO9" s="481"/>
      <c r="BP9" s="481"/>
    </row>
    <row r="10" spans="1:68" ht="23.25" customHeight="1">
      <c r="A10" s="673"/>
      <c r="B10" s="970" t="s">
        <v>201</v>
      </c>
      <c r="C10" s="372" t="s">
        <v>118</v>
      </c>
      <c r="D10" s="516">
        <v>50</v>
      </c>
      <c r="E10" s="517">
        <v>0</v>
      </c>
      <c r="F10" s="518">
        <f>AM38</f>
        <v>0</v>
      </c>
      <c r="G10" s="518">
        <f>AQ38</f>
        <v>0</v>
      </c>
      <c r="H10" s="517">
        <v>0</v>
      </c>
      <c r="I10" s="499">
        <f>SUM(D10:H10)</f>
        <v>50</v>
      </c>
      <c r="J10" s="519">
        <v>0</v>
      </c>
      <c r="K10" s="41">
        <f t="shared" si="5"/>
        <v>0</v>
      </c>
      <c r="L10" s="30">
        <f>IF('School Info'!$W$7&gt;0,L9+1,"--")</f>
        <v>4</v>
      </c>
      <c r="M10" s="9">
        <f t="shared" si="17"/>
        <v>45965</v>
      </c>
      <c r="N10" s="8" t="str">
        <f t="shared" si="6"/>
        <v>Tuesday</v>
      </c>
      <c r="O10" s="64" t="str">
        <f t="shared" si="0"/>
        <v>खुला</v>
      </c>
      <c r="P10" s="6" t="str">
        <f t="shared" si="7"/>
        <v>Tuesday</v>
      </c>
      <c r="Q10" s="71" t="str">
        <f t="shared" si="8"/>
        <v>Milk</v>
      </c>
      <c r="R10" s="6" t="str">
        <f t="shared" si="9"/>
        <v>M</v>
      </c>
      <c r="S10" s="141">
        <f>IF('School Info'!$W$7&gt;=$L10,S9,"---")</f>
        <v>53</v>
      </c>
      <c r="T10" s="141">
        <f>IF('School Info'!$W$7&gt;=$L10,T9,"---")</f>
        <v>61</v>
      </c>
      <c r="U10" s="141">
        <f>IF('School Info'!$W$7&gt;=$L10,U9,"---")</f>
        <v>69</v>
      </c>
      <c r="V10" s="141">
        <f>IF('School Info'!$W$7&gt;=$L10,V9,"---")</f>
        <v>77</v>
      </c>
      <c r="W10" s="141">
        <f>IF('School Info'!$W$7&gt;=$L10,W9,"---")</f>
        <v>85</v>
      </c>
      <c r="X10" s="158">
        <f t="shared" si="18"/>
        <v>345</v>
      </c>
      <c r="Y10" s="141">
        <f>IF('School Info'!$W$7&gt;=$L10,Y9,"---")</f>
        <v>93</v>
      </c>
      <c r="Z10" s="141">
        <f>IF('School Info'!$W$7&gt;=$L10,Z9,"---")</f>
        <v>101</v>
      </c>
      <c r="AA10" s="141">
        <f>IF('School Info'!$W$7&gt;=$L10,AA9,"---")</f>
        <v>109</v>
      </c>
      <c r="AB10" s="157">
        <f t="shared" si="19"/>
        <v>303</v>
      </c>
      <c r="AC10" s="148"/>
      <c r="AD10" s="148"/>
      <c r="AE10" s="148"/>
      <c r="AF10" s="148"/>
      <c r="AG10" s="148"/>
      <c r="AH10" s="157">
        <f t="shared" si="10"/>
        <v>0</v>
      </c>
      <c r="AI10" s="148"/>
      <c r="AJ10" s="148"/>
      <c r="AK10" s="148"/>
      <c r="AL10" s="366">
        <f t="shared" si="11"/>
        <v>0</v>
      </c>
      <c r="AM10" s="510"/>
      <c r="AN10" s="531"/>
      <c r="AO10" s="510"/>
      <c r="AP10" s="531"/>
      <c r="AQ10" s="510"/>
      <c r="AR10" s="531"/>
      <c r="AS10" s="510"/>
      <c r="AT10" s="511"/>
      <c r="AU10" s="873"/>
      <c r="AV10" s="110" t="s">
        <v>78</v>
      </c>
      <c r="AW10" s="24">
        <f t="shared" si="12"/>
        <v>0</v>
      </c>
      <c r="AX10" s="24">
        <f t="shared" si="13"/>
        <v>0</v>
      </c>
      <c r="AY10" s="24">
        <f t="shared" si="14"/>
        <v>0</v>
      </c>
      <c r="AZ10" s="24">
        <f t="shared" si="15"/>
        <v>0</v>
      </c>
      <c r="BA10" s="110"/>
      <c r="BB10" s="25">
        <f>AW10*'School Info'!$C$21/1000</f>
        <v>0</v>
      </c>
      <c r="BC10" s="25">
        <f>(AX10*'School Info'!$C$22/1000)</f>
        <v>0</v>
      </c>
      <c r="BD10" s="25">
        <f>AY10*'School Info'!$E$21/1000</f>
        <v>0</v>
      </c>
      <c r="BE10" s="25">
        <f>(AZ10*'School Info'!$E$22/1000)</f>
        <v>0</v>
      </c>
      <c r="BG10" s="110">
        <f>IF(OR(AH10&gt;0,AL10&gt;0),MAX($BG$7:BG9)+1,0)</f>
        <v>0</v>
      </c>
      <c r="BH10" s="110" t="str">
        <f t="shared" si="16"/>
        <v>N</v>
      </c>
      <c r="BI10" s="481"/>
      <c r="BJ10" s="481"/>
      <c r="BK10" s="481"/>
      <c r="BL10" s="481"/>
      <c r="BM10" s="481"/>
      <c r="BN10" s="481"/>
      <c r="BO10" s="481"/>
      <c r="BP10" s="481"/>
    </row>
    <row r="11" spans="1:68" ht="23.25" customHeight="1" thickBot="1">
      <c r="A11" s="673"/>
      <c r="B11" s="971"/>
      <c r="C11" s="373" t="s">
        <v>119</v>
      </c>
      <c r="D11" s="520">
        <v>70</v>
      </c>
      <c r="E11" s="521">
        <v>0</v>
      </c>
      <c r="F11" s="522">
        <f>AN38</f>
        <v>0</v>
      </c>
      <c r="G11" s="522">
        <f>AR38</f>
        <v>0</v>
      </c>
      <c r="H11" s="521">
        <v>0</v>
      </c>
      <c r="I11" s="505">
        <f>SUM(D11:H11)</f>
        <v>70</v>
      </c>
      <c r="J11" s="523">
        <v>0</v>
      </c>
      <c r="K11" s="41">
        <f t="shared" si="5"/>
        <v>0</v>
      </c>
      <c r="L11" s="30">
        <f>IF('School Info'!$W$7&gt;0,L10+1,"--")</f>
        <v>5</v>
      </c>
      <c r="M11" s="9">
        <f t="shared" si="17"/>
        <v>45966</v>
      </c>
      <c r="N11" s="8" t="str">
        <f t="shared" si="6"/>
        <v>Wednesday</v>
      </c>
      <c r="O11" s="64" t="str">
        <f t="shared" si="0"/>
        <v>खुला</v>
      </c>
      <c r="P11" s="6" t="str">
        <f t="shared" si="7"/>
        <v>Wednesday</v>
      </c>
      <c r="Q11" s="71" t="str">
        <f t="shared" si="8"/>
        <v>Milk</v>
      </c>
      <c r="R11" s="6" t="str">
        <f t="shared" si="9"/>
        <v>M</v>
      </c>
      <c r="S11" s="141">
        <f>IF('School Info'!$W$7&gt;=$L11,S10,"---")</f>
        <v>53</v>
      </c>
      <c r="T11" s="141">
        <f>IF('School Info'!$W$7&gt;=$L11,T10,"---")</f>
        <v>61</v>
      </c>
      <c r="U11" s="141">
        <f>IF('School Info'!$W$7&gt;=$L11,U10,"---")</f>
        <v>69</v>
      </c>
      <c r="V11" s="141">
        <f>IF('School Info'!$W$7&gt;=$L11,V10,"---")</f>
        <v>77</v>
      </c>
      <c r="W11" s="141">
        <f>IF('School Info'!$W$7&gt;=$L11,W10,"---")</f>
        <v>85</v>
      </c>
      <c r="X11" s="158">
        <f t="shared" si="18"/>
        <v>345</v>
      </c>
      <c r="Y11" s="141">
        <f>IF('School Info'!$W$7&gt;=$L11,Y10,"---")</f>
        <v>93</v>
      </c>
      <c r="Z11" s="141">
        <f>IF('School Info'!$W$7&gt;=$L11,Z10,"---")</f>
        <v>101</v>
      </c>
      <c r="AA11" s="141">
        <f>IF('School Info'!$W$7&gt;=$L11,AA10,"---")</f>
        <v>109</v>
      </c>
      <c r="AB11" s="157">
        <f t="shared" si="19"/>
        <v>303</v>
      </c>
      <c r="AC11" s="148"/>
      <c r="AD11" s="148"/>
      <c r="AE11" s="148"/>
      <c r="AF11" s="148"/>
      <c r="AG11" s="148"/>
      <c r="AH11" s="157">
        <f t="shared" si="10"/>
        <v>0</v>
      </c>
      <c r="AI11" s="148"/>
      <c r="AJ11" s="148"/>
      <c r="AK11" s="148"/>
      <c r="AL11" s="366">
        <f t="shared" si="11"/>
        <v>0</v>
      </c>
      <c r="AM11" s="510"/>
      <c r="AN11" s="531"/>
      <c r="AO11" s="510"/>
      <c r="AP11" s="531"/>
      <c r="AQ11" s="510"/>
      <c r="AR11" s="531"/>
      <c r="AS11" s="510"/>
      <c r="AT11" s="511"/>
      <c r="AU11" s="873"/>
      <c r="AV11" s="110" t="s">
        <v>79</v>
      </c>
      <c r="AW11" s="24">
        <f t="shared" si="12"/>
        <v>0</v>
      </c>
      <c r="AX11" s="24">
        <f t="shared" si="13"/>
        <v>0</v>
      </c>
      <c r="AY11" s="24">
        <f t="shared" si="14"/>
        <v>0</v>
      </c>
      <c r="AZ11" s="24">
        <f t="shared" si="15"/>
        <v>0</v>
      </c>
      <c r="BA11" s="110"/>
      <c r="BB11" s="25">
        <f>AW11*'School Info'!$C$21/1000</f>
        <v>0</v>
      </c>
      <c r="BC11" s="25">
        <f>(AX11*'School Info'!$C$22/1000)</f>
        <v>0</v>
      </c>
      <c r="BD11" s="25">
        <f>AY11*'School Info'!$E$21/1000</f>
        <v>0</v>
      </c>
      <c r="BE11" s="25">
        <f>(AZ11*'School Info'!$E$22/1000)</f>
        <v>0</v>
      </c>
      <c r="BG11" s="110">
        <f>IF(OR(AH11&gt;0,AL11&gt;0),MAX($BG$7:BG10)+1,0)</f>
        <v>0</v>
      </c>
      <c r="BH11" s="110" t="str">
        <f t="shared" si="16"/>
        <v>N</v>
      </c>
      <c r="BI11" s="481"/>
      <c r="BJ11" s="481"/>
      <c r="BK11" s="481"/>
      <c r="BL11" s="481"/>
      <c r="BM11" s="481"/>
      <c r="BN11" s="481"/>
      <c r="BO11" s="481"/>
      <c r="BP11" s="481"/>
    </row>
    <row r="12" spans="1:68" ht="23.25" customHeight="1">
      <c r="A12" s="673"/>
      <c r="B12" s="972" t="s">
        <v>202</v>
      </c>
      <c r="C12" s="374" t="s">
        <v>118</v>
      </c>
      <c r="D12" s="516">
        <v>30</v>
      </c>
      <c r="E12" s="517">
        <v>0</v>
      </c>
      <c r="F12" s="518">
        <f>AO38</f>
        <v>0</v>
      </c>
      <c r="G12" s="518">
        <f>AS38</f>
        <v>0</v>
      </c>
      <c r="H12" s="517">
        <v>0</v>
      </c>
      <c r="I12" s="499">
        <f t="shared" ref="I12" si="20">SUM(D12:H12)</f>
        <v>30</v>
      </c>
      <c r="J12" s="519">
        <v>0</v>
      </c>
      <c r="K12" s="41">
        <f t="shared" si="5"/>
        <v>0</v>
      </c>
      <c r="L12" s="30">
        <f>IF('School Info'!$W$7&gt;0,L11+1,"--")</f>
        <v>6</v>
      </c>
      <c r="M12" s="9">
        <f>M11+1</f>
        <v>45967</v>
      </c>
      <c r="N12" s="8" t="str">
        <f t="shared" si="6"/>
        <v>Thursday</v>
      </c>
      <c r="O12" s="64" t="str">
        <f t="shared" si="0"/>
        <v>खुला</v>
      </c>
      <c r="P12" s="6" t="str">
        <f t="shared" si="7"/>
        <v>Thursday</v>
      </c>
      <c r="Q12" s="71" t="str">
        <f t="shared" si="8"/>
        <v>Milk</v>
      </c>
      <c r="R12" s="6" t="str">
        <f t="shared" si="9"/>
        <v>M</v>
      </c>
      <c r="S12" s="141">
        <f>IF('School Info'!$W$7&gt;=$L12,S11,"---")</f>
        <v>53</v>
      </c>
      <c r="T12" s="141">
        <f>IF('School Info'!$W$7&gt;=$L12,T11,"---")</f>
        <v>61</v>
      </c>
      <c r="U12" s="141">
        <f>IF('School Info'!$W$7&gt;=$L12,U11,"---")</f>
        <v>69</v>
      </c>
      <c r="V12" s="141">
        <f>IF('School Info'!$W$7&gt;=$L12,V11,"---")</f>
        <v>77</v>
      </c>
      <c r="W12" s="141">
        <f>IF('School Info'!$W$7&gt;=$L12,W11,"---")</f>
        <v>85</v>
      </c>
      <c r="X12" s="158">
        <f t="shared" si="18"/>
        <v>345</v>
      </c>
      <c r="Y12" s="141">
        <f>IF('School Info'!$W$7&gt;=$L12,Y11,"---")</f>
        <v>93</v>
      </c>
      <c r="Z12" s="141">
        <f>IF('School Info'!$W$7&gt;=$L12,Z11,"---")</f>
        <v>101</v>
      </c>
      <c r="AA12" s="141">
        <f>IF('School Info'!$W$7&gt;=$L12,AA11,"---")</f>
        <v>109</v>
      </c>
      <c r="AB12" s="157">
        <f t="shared" si="19"/>
        <v>303</v>
      </c>
      <c r="AC12" s="148"/>
      <c r="AD12" s="148"/>
      <c r="AE12" s="148"/>
      <c r="AF12" s="148"/>
      <c r="AG12" s="148"/>
      <c r="AH12" s="157">
        <f t="shared" si="10"/>
        <v>0</v>
      </c>
      <c r="AI12" s="148"/>
      <c r="AJ12" s="148"/>
      <c r="AK12" s="148"/>
      <c r="AL12" s="366">
        <f t="shared" si="11"/>
        <v>0</v>
      </c>
      <c r="AM12" s="510"/>
      <c r="AN12" s="531"/>
      <c r="AO12" s="510"/>
      <c r="AP12" s="531"/>
      <c r="AQ12" s="510"/>
      <c r="AR12" s="531"/>
      <c r="AS12" s="510"/>
      <c r="AT12" s="511"/>
      <c r="AU12" s="873"/>
      <c r="AV12" s="110" t="s">
        <v>100</v>
      </c>
      <c r="AW12" s="24">
        <f t="shared" si="12"/>
        <v>0</v>
      </c>
      <c r="AX12" s="24">
        <f t="shared" si="13"/>
        <v>0</v>
      </c>
      <c r="AY12" s="24">
        <f t="shared" si="14"/>
        <v>0</v>
      </c>
      <c r="AZ12" s="24">
        <f t="shared" si="15"/>
        <v>0</v>
      </c>
      <c r="BA12" s="110"/>
      <c r="BB12" s="25">
        <f>AW12*'School Info'!$C$21/1000</f>
        <v>0</v>
      </c>
      <c r="BC12" s="25">
        <f>(AX12*'School Info'!$C$22/1000)</f>
        <v>0</v>
      </c>
      <c r="BD12" s="25">
        <f>AY12*'School Info'!$E$21/1000</f>
        <v>0</v>
      </c>
      <c r="BE12" s="25">
        <f>(AZ12*'School Info'!$E$22/1000)</f>
        <v>0</v>
      </c>
      <c r="BG12" s="110">
        <f>IF(OR(AH12&gt;0,AL12&gt;0),MAX($BG$7:BG11)+1,0)</f>
        <v>0</v>
      </c>
      <c r="BH12" s="110" t="str">
        <f t="shared" si="16"/>
        <v>N</v>
      </c>
      <c r="BI12" s="481"/>
      <c r="BJ12" s="481"/>
      <c r="BK12" s="481"/>
      <c r="BL12" s="481"/>
      <c r="BM12" s="481"/>
      <c r="BN12" s="481"/>
      <c r="BO12" s="481"/>
      <c r="BP12" s="481"/>
    </row>
    <row r="13" spans="1:68" ht="23.25" customHeight="1" thickBot="1">
      <c r="A13" s="673"/>
      <c r="B13" s="972"/>
      <c r="C13" s="418" t="s">
        <v>119</v>
      </c>
      <c r="D13" s="524">
        <v>40</v>
      </c>
      <c r="E13" s="525">
        <v>0</v>
      </c>
      <c r="F13" s="526">
        <f>AP38</f>
        <v>0</v>
      </c>
      <c r="G13" s="526">
        <f>AT38</f>
        <v>0</v>
      </c>
      <c r="H13" s="525">
        <v>0</v>
      </c>
      <c r="I13" s="527">
        <f>SUM(D13:H13)</f>
        <v>40</v>
      </c>
      <c r="J13" s="528">
        <v>0</v>
      </c>
      <c r="K13" s="41">
        <f t="shared" si="5"/>
        <v>0</v>
      </c>
      <c r="L13" s="30">
        <f>IF('School Info'!$W$7&gt;0,L12+1,"--")</f>
        <v>7</v>
      </c>
      <c r="M13" s="9">
        <f t="shared" si="17"/>
        <v>45968</v>
      </c>
      <c r="N13" s="8" t="str">
        <f t="shared" si="6"/>
        <v>Friday</v>
      </c>
      <c r="O13" s="64" t="str">
        <f t="shared" si="0"/>
        <v>खुला</v>
      </c>
      <c r="P13" s="6" t="str">
        <f t="shared" si="7"/>
        <v>Friday</v>
      </c>
      <c r="Q13" s="71" t="str">
        <f t="shared" si="8"/>
        <v>Milk</v>
      </c>
      <c r="R13" s="6" t="str">
        <f t="shared" si="9"/>
        <v>M</v>
      </c>
      <c r="S13" s="141">
        <f>IF('School Info'!$W$7&gt;=$L13,S12,"---")</f>
        <v>53</v>
      </c>
      <c r="T13" s="141">
        <f>IF('School Info'!$W$7&gt;=$L13,T12,"---")</f>
        <v>61</v>
      </c>
      <c r="U13" s="141">
        <f>IF('School Info'!$W$7&gt;=$L13,U12,"---")</f>
        <v>69</v>
      </c>
      <c r="V13" s="141">
        <f>IF('School Info'!$W$7&gt;=$L13,V12,"---")</f>
        <v>77</v>
      </c>
      <c r="W13" s="141">
        <f>IF('School Info'!$W$7&gt;=$L13,W12,"---")</f>
        <v>85</v>
      </c>
      <c r="X13" s="158">
        <f t="shared" si="18"/>
        <v>345</v>
      </c>
      <c r="Y13" s="141">
        <f>IF('School Info'!$W$7&gt;=$L13,Y12,"---")</f>
        <v>93</v>
      </c>
      <c r="Z13" s="141">
        <f>IF('School Info'!$W$7&gt;=$L13,Z12,"---")</f>
        <v>101</v>
      </c>
      <c r="AA13" s="141">
        <f>IF('School Info'!$W$7&gt;=$L13,AA12,"---")</f>
        <v>109</v>
      </c>
      <c r="AB13" s="157">
        <f t="shared" si="19"/>
        <v>303</v>
      </c>
      <c r="AC13" s="148"/>
      <c r="AD13" s="148"/>
      <c r="AE13" s="148"/>
      <c r="AF13" s="148"/>
      <c r="AG13" s="148"/>
      <c r="AH13" s="157">
        <f t="shared" si="10"/>
        <v>0</v>
      </c>
      <c r="AI13" s="148"/>
      <c r="AJ13" s="148"/>
      <c r="AK13" s="148"/>
      <c r="AL13" s="366">
        <f t="shared" si="11"/>
        <v>0</v>
      </c>
      <c r="AM13" s="510"/>
      <c r="AN13" s="531"/>
      <c r="AO13" s="510"/>
      <c r="AP13" s="531"/>
      <c r="AQ13" s="510"/>
      <c r="AR13" s="531"/>
      <c r="AS13" s="510"/>
      <c r="AT13" s="511"/>
      <c r="AU13" s="873"/>
      <c r="AV13" s="110" t="s">
        <v>80</v>
      </c>
      <c r="AW13" s="24">
        <f t="shared" si="12"/>
        <v>0</v>
      </c>
      <c r="AX13" s="24">
        <f t="shared" si="13"/>
        <v>0</v>
      </c>
      <c r="AY13" s="24">
        <f t="shared" si="14"/>
        <v>0</v>
      </c>
      <c r="AZ13" s="24">
        <f t="shared" si="15"/>
        <v>0</v>
      </c>
      <c r="BA13" s="110"/>
      <c r="BB13" s="25">
        <f>AW13*'School Info'!$C$21/1000</f>
        <v>0</v>
      </c>
      <c r="BC13" s="25">
        <f>(AX13*'School Info'!$C$22/1000)</f>
        <v>0</v>
      </c>
      <c r="BD13" s="25">
        <f>AY13*'School Info'!$E$21/1000</f>
        <v>0</v>
      </c>
      <c r="BE13" s="25">
        <f>(AZ13*'School Info'!$E$22/1000)</f>
        <v>0</v>
      </c>
      <c r="BG13" s="110">
        <f>IF(OR(AH13&gt;0,AL13&gt;0),MAX($BG$7:BG12)+1,0)</f>
        <v>0</v>
      </c>
      <c r="BH13" s="110" t="str">
        <f t="shared" si="16"/>
        <v>N</v>
      </c>
      <c r="BI13" s="481"/>
      <c r="BJ13" s="481"/>
      <c r="BK13" s="481"/>
      <c r="BL13" s="481"/>
      <c r="BM13" s="481"/>
      <c r="BN13" s="481"/>
      <c r="BO13" s="481"/>
      <c r="BP13" s="481"/>
    </row>
    <row r="14" spans="1:68" ht="23.25" customHeight="1">
      <c r="A14" s="673"/>
      <c r="B14" s="943" t="s">
        <v>446</v>
      </c>
      <c r="C14" s="944"/>
      <c r="D14" s="944"/>
      <c r="E14" s="945"/>
      <c r="F14" s="957" t="s">
        <v>447</v>
      </c>
      <c r="G14" s="957"/>
      <c r="H14" s="957"/>
      <c r="I14" s="957"/>
      <c r="J14" s="958"/>
      <c r="K14" s="41">
        <f t="shared" si="5"/>
        <v>0</v>
      </c>
      <c r="L14" s="30">
        <f>IF('School Info'!$W$7&gt;0,L13+1,"--")</f>
        <v>8</v>
      </c>
      <c r="M14" s="9">
        <f>M13+1</f>
        <v>45969</v>
      </c>
      <c r="N14" s="8" t="str">
        <f t="shared" si="6"/>
        <v>Saturday</v>
      </c>
      <c r="O14" s="64" t="str">
        <f t="shared" si="0"/>
        <v>खुला</v>
      </c>
      <c r="P14" s="6" t="str">
        <f t="shared" si="7"/>
        <v>Saturday</v>
      </c>
      <c r="Q14" s="71" t="str">
        <f t="shared" si="8"/>
        <v>Milk</v>
      </c>
      <c r="R14" s="6" t="str">
        <f t="shared" si="9"/>
        <v>M</v>
      </c>
      <c r="S14" s="141">
        <f>IF('School Info'!$W$7&gt;=$L14,S13,"---")</f>
        <v>53</v>
      </c>
      <c r="T14" s="141">
        <f>IF('School Info'!$W$7&gt;=$L14,T13,"---")</f>
        <v>61</v>
      </c>
      <c r="U14" s="141">
        <f>IF('School Info'!$W$7&gt;=$L14,U13,"---")</f>
        <v>69</v>
      </c>
      <c r="V14" s="141">
        <f>IF('School Info'!$W$7&gt;=$L14,V13,"---")</f>
        <v>77</v>
      </c>
      <c r="W14" s="141">
        <f>IF('School Info'!$W$7&gt;=$L14,W13,"---")</f>
        <v>85</v>
      </c>
      <c r="X14" s="158">
        <f t="shared" si="18"/>
        <v>345</v>
      </c>
      <c r="Y14" s="141">
        <f>IF('School Info'!$W$7&gt;=$L14,Y13,"---")</f>
        <v>93</v>
      </c>
      <c r="Z14" s="141">
        <f>IF('School Info'!$W$7&gt;=$L14,Z13,"---")</f>
        <v>101</v>
      </c>
      <c r="AA14" s="141">
        <f>IF('School Info'!$W$7&gt;=$L14,AA13,"---")</f>
        <v>109</v>
      </c>
      <c r="AB14" s="157">
        <f t="shared" si="19"/>
        <v>303</v>
      </c>
      <c r="AC14" s="148"/>
      <c r="AD14" s="148"/>
      <c r="AE14" s="148"/>
      <c r="AF14" s="148"/>
      <c r="AG14" s="148"/>
      <c r="AH14" s="157">
        <f t="shared" si="10"/>
        <v>0</v>
      </c>
      <c r="AI14" s="148"/>
      <c r="AJ14" s="148"/>
      <c r="AK14" s="148"/>
      <c r="AL14" s="366">
        <f t="shared" si="11"/>
        <v>0</v>
      </c>
      <c r="AM14" s="510"/>
      <c r="AN14" s="531"/>
      <c r="AO14" s="510"/>
      <c r="AP14" s="531"/>
      <c r="AQ14" s="510"/>
      <c r="AR14" s="531"/>
      <c r="AS14" s="510"/>
      <c r="AT14" s="511"/>
      <c r="AU14" s="873"/>
      <c r="AV14" s="110" t="s">
        <v>81</v>
      </c>
      <c r="AW14" s="24">
        <f t="shared" si="12"/>
        <v>0</v>
      </c>
      <c r="AX14" s="24">
        <f t="shared" si="13"/>
        <v>0</v>
      </c>
      <c r="AY14" s="24">
        <f t="shared" si="14"/>
        <v>0</v>
      </c>
      <c r="AZ14" s="24">
        <f t="shared" si="15"/>
        <v>0</v>
      </c>
      <c r="BA14" s="110"/>
      <c r="BB14" s="25">
        <f>AW14*'School Info'!$C$21/1000</f>
        <v>0</v>
      </c>
      <c r="BC14" s="25">
        <f>(AX14*'School Info'!$C$22/1000)</f>
        <v>0</v>
      </c>
      <c r="BD14" s="25">
        <f>AY14*'School Info'!$E$21/1000</f>
        <v>0</v>
      </c>
      <c r="BE14" s="25">
        <f>(AZ14*'School Info'!$E$22/1000)</f>
        <v>0</v>
      </c>
      <c r="BG14" s="110">
        <f>IF(OR(AH14&gt;0,AL14&gt;0),3,0)</f>
        <v>0</v>
      </c>
      <c r="BI14" s="480">
        <f>SUM(AM14:AM20)</f>
        <v>0</v>
      </c>
      <c r="BJ14" s="480">
        <f t="shared" ref="BJ14" si="21">SUM(AN14:AN20)</f>
        <v>0</v>
      </c>
      <c r="BK14" s="480">
        <f t="shared" ref="BK14" si="22">SUM(AO14:AO20)</f>
        <v>0</v>
      </c>
      <c r="BL14" s="480">
        <f t="shared" ref="BL14" si="23">SUM(AP14:AP20)</f>
        <v>0</v>
      </c>
      <c r="BM14" s="480">
        <f t="shared" ref="BM14" si="24">SUM(AQ14:AQ20)</f>
        <v>0</v>
      </c>
      <c r="BN14" s="480">
        <f t="shared" ref="BN14" si="25">SUM(AR14:AR20)</f>
        <v>0</v>
      </c>
      <c r="BO14" s="480">
        <f t="shared" ref="BO14" si="26">SUM(AS14:AS20)</f>
        <v>0</v>
      </c>
      <c r="BP14" s="480">
        <f t="shared" ref="BP14" si="27">SUM(AT14:AT20)</f>
        <v>0</v>
      </c>
    </row>
    <row r="15" spans="1:68" ht="23.25" customHeight="1">
      <c r="A15" s="673"/>
      <c r="B15" s="951" t="s">
        <v>128</v>
      </c>
      <c r="C15" s="952"/>
      <c r="D15" s="953"/>
      <c r="E15" s="421">
        <f>AH38</f>
        <v>30</v>
      </c>
      <c r="F15" s="951" t="s">
        <v>128</v>
      </c>
      <c r="G15" s="952"/>
      <c r="H15" s="953"/>
      <c r="I15" s="419"/>
      <c r="J15" s="423">
        <f>'Upyogita Praman-Patra'!I54</f>
        <v>1</v>
      </c>
      <c r="K15" s="41">
        <f t="shared" si="5"/>
        <v>0</v>
      </c>
      <c r="L15" s="30">
        <f>IF('School Info'!$W$7&gt;0,L14+1,"--")</f>
        <v>9</v>
      </c>
      <c r="M15" s="9">
        <f t="shared" si="17"/>
        <v>45970</v>
      </c>
      <c r="N15" s="8" t="str">
        <f t="shared" si="6"/>
        <v>Sunday</v>
      </c>
      <c r="O15" s="64" t="str">
        <f t="shared" si="0"/>
        <v>रवि॰अव॰</v>
      </c>
      <c r="P15" s="6" t="str">
        <f t="shared" si="7"/>
        <v>Holiday</v>
      </c>
      <c r="Q15" s="71" t="str">
        <f t="shared" si="8"/>
        <v>---</v>
      </c>
      <c r="R15" s="6" t="str">
        <f t="shared" si="9"/>
        <v>---</v>
      </c>
      <c r="S15" s="141">
        <f>IF('School Info'!$W$7&gt;=$L15,S14,"---")</f>
        <v>53</v>
      </c>
      <c r="T15" s="141">
        <f>IF('School Info'!$W$7&gt;=$L15,T14,"---")</f>
        <v>61</v>
      </c>
      <c r="U15" s="141">
        <f>IF('School Info'!$W$7&gt;=$L15,U14,"---")</f>
        <v>69</v>
      </c>
      <c r="V15" s="141">
        <f>IF('School Info'!$W$7&gt;=$L15,V14,"---")</f>
        <v>77</v>
      </c>
      <c r="W15" s="141">
        <f>IF('School Info'!$W$7&gt;=$L15,W14,"---")</f>
        <v>85</v>
      </c>
      <c r="X15" s="158">
        <f t="shared" si="18"/>
        <v>345</v>
      </c>
      <c r="Y15" s="141">
        <f>IF('School Info'!$W$7&gt;=$L15,Y14,"---")</f>
        <v>93</v>
      </c>
      <c r="Z15" s="141">
        <f>IF('School Info'!$W$7&gt;=$L15,Z14,"---")</f>
        <v>101</v>
      </c>
      <c r="AA15" s="141">
        <f>IF('School Info'!$W$7&gt;=$L15,AA14,"---")</f>
        <v>109</v>
      </c>
      <c r="AB15" s="157">
        <f t="shared" si="19"/>
        <v>303</v>
      </c>
      <c r="AC15" s="148"/>
      <c r="AD15" s="148"/>
      <c r="AE15" s="148"/>
      <c r="AF15" s="148"/>
      <c r="AG15" s="148"/>
      <c r="AH15" s="157">
        <f t="shared" si="10"/>
        <v>0</v>
      </c>
      <c r="AI15" s="148"/>
      <c r="AJ15" s="148"/>
      <c r="AK15" s="148"/>
      <c r="AL15" s="366">
        <f t="shared" si="11"/>
        <v>0</v>
      </c>
      <c r="AM15" s="510"/>
      <c r="AN15" s="531"/>
      <c r="AO15" s="510"/>
      <c r="AP15" s="531"/>
      <c r="AQ15" s="510"/>
      <c r="AR15" s="531"/>
      <c r="AS15" s="510"/>
      <c r="AT15" s="511"/>
      <c r="AU15" s="873"/>
      <c r="AV15" s="110" t="s">
        <v>82</v>
      </c>
      <c r="AW15" s="24">
        <f t="shared" si="12"/>
        <v>0</v>
      </c>
      <c r="AX15" s="24">
        <f t="shared" si="13"/>
        <v>0</v>
      </c>
      <c r="AY15" s="24">
        <f t="shared" si="14"/>
        <v>0</v>
      </c>
      <c r="AZ15" s="24">
        <f t="shared" si="15"/>
        <v>0</v>
      </c>
      <c r="BA15" s="110"/>
      <c r="BB15" s="25">
        <f>AW15*'School Info'!$C$21/1000</f>
        <v>0</v>
      </c>
      <c r="BC15" s="25">
        <f>(AX15*'School Info'!$C$22/1000)</f>
        <v>0</v>
      </c>
      <c r="BD15" s="25">
        <f>AY15*'School Info'!$E$21/1000</f>
        <v>0</v>
      </c>
      <c r="BE15" s="25">
        <f>(AZ15*'School Info'!$E$22/1000)</f>
        <v>0</v>
      </c>
      <c r="BG15" s="110">
        <f>IF(OR(AH15&gt;0,AL15&gt;0),MAX(BG14)+3,0)</f>
        <v>0</v>
      </c>
      <c r="BI15" s="481"/>
      <c r="BJ15" s="481"/>
      <c r="BK15" s="481"/>
      <c r="BL15" s="481"/>
      <c r="BM15" s="481"/>
      <c r="BN15" s="481"/>
      <c r="BO15" s="481"/>
      <c r="BP15" s="481"/>
    </row>
    <row r="16" spans="1:68" ht="23.25" customHeight="1" thickBot="1">
      <c r="A16" s="673"/>
      <c r="B16" s="954" t="s">
        <v>129</v>
      </c>
      <c r="C16" s="955"/>
      <c r="D16" s="956"/>
      <c r="E16" s="422">
        <f>AL38</f>
        <v>12</v>
      </c>
      <c r="F16" s="954" t="s">
        <v>129</v>
      </c>
      <c r="G16" s="955"/>
      <c r="H16" s="956"/>
      <c r="I16" s="420"/>
      <c r="J16" s="424">
        <f>'Upyogita Praman-Patra'!M54</f>
        <v>1</v>
      </c>
      <c r="K16" s="41">
        <f t="shared" si="5"/>
        <v>0</v>
      </c>
      <c r="L16" s="30">
        <f>IF('School Info'!$W$7&gt;0,L15+1,"--")</f>
        <v>10</v>
      </c>
      <c r="M16" s="9">
        <f t="shared" si="17"/>
        <v>45971</v>
      </c>
      <c r="N16" s="8" t="str">
        <f t="shared" si="6"/>
        <v>Monday</v>
      </c>
      <c r="O16" s="64" t="str">
        <f t="shared" si="0"/>
        <v>खुला</v>
      </c>
      <c r="P16" s="6" t="str">
        <f t="shared" si="7"/>
        <v>Monday</v>
      </c>
      <c r="Q16" s="71" t="str">
        <f t="shared" si="8"/>
        <v>Milk</v>
      </c>
      <c r="R16" s="6" t="str">
        <f t="shared" si="9"/>
        <v>M</v>
      </c>
      <c r="S16" s="141">
        <f>IF('School Info'!$W$7&gt;=$L16,S15,"---")</f>
        <v>53</v>
      </c>
      <c r="T16" s="141">
        <f>IF('School Info'!$W$7&gt;=$L16,T15,"---")</f>
        <v>61</v>
      </c>
      <c r="U16" s="141">
        <f>IF('School Info'!$W$7&gt;=$L16,U15,"---")</f>
        <v>69</v>
      </c>
      <c r="V16" s="141">
        <f>IF('School Info'!$W$7&gt;=$L16,V15,"---")</f>
        <v>77</v>
      </c>
      <c r="W16" s="141">
        <f>IF('School Info'!$W$7&gt;=$L16,W15,"---")</f>
        <v>85</v>
      </c>
      <c r="X16" s="158">
        <f t="shared" si="18"/>
        <v>345</v>
      </c>
      <c r="Y16" s="141">
        <f>IF('School Info'!$W$7&gt;=$L16,Y15,"---")</f>
        <v>93</v>
      </c>
      <c r="Z16" s="141">
        <f>IF('School Info'!$W$7&gt;=$L16,Z15,"---")</f>
        <v>101</v>
      </c>
      <c r="AA16" s="141">
        <f>IF('School Info'!$W$7&gt;=$L16,AA15,"---")</f>
        <v>109</v>
      </c>
      <c r="AB16" s="157">
        <f t="shared" si="19"/>
        <v>303</v>
      </c>
      <c r="AC16" s="148"/>
      <c r="AD16" s="148"/>
      <c r="AE16" s="148"/>
      <c r="AF16" s="148"/>
      <c r="AG16" s="148"/>
      <c r="AH16" s="157">
        <f t="shared" si="10"/>
        <v>0</v>
      </c>
      <c r="AI16" s="148"/>
      <c r="AJ16" s="148"/>
      <c r="AK16" s="148"/>
      <c r="AL16" s="366">
        <f t="shared" si="11"/>
        <v>0</v>
      </c>
      <c r="AM16" s="510"/>
      <c r="AN16" s="531"/>
      <c r="AO16" s="510"/>
      <c r="AP16" s="531"/>
      <c r="AQ16" s="510"/>
      <c r="AR16" s="531"/>
      <c r="AS16" s="510"/>
      <c r="AT16" s="511"/>
      <c r="AU16" s="873"/>
      <c r="AV16" s="110" t="s">
        <v>83</v>
      </c>
      <c r="AW16" s="24">
        <f t="shared" si="12"/>
        <v>0</v>
      </c>
      <c r="AX16" s="24">
        <f t="shared" si="13"/>
        <v>0</v>
      </c>
      <c r="AY16" s="24">
        <f t="shared" si="14"/>
        <v>0</v>
      </c>
      <c r="AZ16" s="24">
        <f t="shared" si="15"/>
        <v>0</v>
      </c>
      <c r="BA16" s="110"/>
      <c r="BB16" s="25">
        <f>AW16*'School Info'!$C$21/1000</f>
        <v>0</v>
      </c>
      <c r="BC16" s="25">
        <f>(AX16*'School Info'!$C$22/1000)</f>
        <v>0</v>
      </c>
      <c r="BD16" s="25">
        <f>AY16*'School Info'!$E$21/1000</f>
        <v>0</v>
      </c>
      <c r="BE16" s="25">
        <f>(AZ16*'School Info'!$E$22/1000)</f>
        <v>0</v>
      </c>
      <c r="BG16" s="110">
        <f>IF(OR(AH16&gt;0,AL16&gt;0),MAX($BG$14:BG15)+3,0)</f>
        <v>0</v>
      </c>
      <c r="BI16" s="481"/>
      <c r="BJ16" s="481"/>
      <c r="BK16" s="481"/>
      <c r="BL16" s="481"/>
      <c r="BM16" s="481"/>
      <c r="BN16" s="481"/>
      <c r="BO16" s="481"/>
      <c r="BP16" s="481"/>
    </row>
    <row r="17" spans="1:68" ht="23.25" customHeight="1">
      <c r="A17" s="673"/>
      <c r="B17" s="934"/>
      <c r="C17" s="935"/>
      <c r="D17" s="935"/>
      <c r="E17" s="935"/>
      <c r="F17" s="935"/>
      <c r="G17" s="935"/>
      <c r="H17" s="935"/>
      <c r="I17" s="935"/>
      <c r="J17" s="936"/>
      <c r="K17" s="41">
        <f t="shared" si="5"/>
        <v>0</v>
      </c>
      <c r="L17" s="30">
        <f>IF('School Info'!$W$7&gt;0,L16+1,"--")</f>
        <v>11</v>
      </c>
      <c r="M17" s="9">
        <f t="shared" si="17"/>
        <v>45972</v>
      </c>
      <c r="N17" s="8" t="str">
        <f t="shared" si="6"/>
        <v>Tuesday</v>
      </c>
      <c r="O17" s="64" t="str">
        <f t="shared" si="0"/>
        <v>खुला</v>
      </c>
      <c r="P17" s="6" t="str">
        <f t="shared" si="7"/>
        <v>Tuesday</v>
      </c>
      <c r="Q17" s="71" t="str">
        <f t="shared" si="8"/>
        <v>Milk</v>
      </c>
      <c r="R17" s="6" t="str">
        <f t="shared" si="9"/>
        <v>M</v>
      </c>
      <c r="S17" s="141">
        <f>IF('School Info'!$W$7&gt;=$L17,S16,"---")</f>
        <v>53</v>
      </c>
      <c r="T17" s="141">
        <f>IF('School Info'!$W$7&gt;=$L17,T16,"---")</f>
        <v>61</v>
      </c>
      <c r="U17" s="141">
        <f>IF('School Info'!$W$7&gt;=$L17,U16,"---")</f>
        <v>69</v>
      </c>
      <c r="V17" s="141">
        <f>IF('School Info'!$W$7&gt;=$L17,V16,"---")</f>
        <v>77</v>
      </c>
      <c r="W17" s="141">
        <f>IF('School Info'!$W$7&gt;=$L17,W16,"---")</f>
        <v>85</v>
      </c>
      <c r="X17" s="158">
        <f t="shared" si="18"/>
        <v>345</v>
      </c>
      <c r="Y17" s="141">
        <f>IF('School Info'!$W$7&gt;=$L17,Y16,"---")</f>
        <v>93</v>
      </c>
      <c r="Z17" s="141">
        <f>IF('School Info'!$W$7&gt;=$L17,Z16,"---")</f>
        <v>101</v>
      </c>
      <c r="AA17" s="141">
        <f>IF('School Info'!$W$7&gt;=$L17,AA16,"---")</f>
        <v>109</v>
      </c>
      <c r="AB17" s="157">
        <f t="shared" si="19"/>
        <v>303</v>
      </c>
      <c r="AC17" s="148"/>
      <c r="AD17" s="148"/>
      <c r="AE17" s="148"/>
      <c r="AF17" s="148"/>
      <c r="AG17" s="148"/>
      <c r="AH17" s="157">
        <f t="shared" si="10"/>
        <v>0</v>
      </c>
      <c r="AI17" s="148"/>
      <c r="AJ17" s="148"/>
      <c r="AK17" s="148"/>
      <c r="AL17" s="366">
        <f t="shared" si="11"/>
        <v>0</v>
      </c>
      <c r="AM17" s="510"/>
      <c r="AN17" s="531"/>
      <c r="AO17" s="510"/>
      <c r="AP17" s="531"/>
      <c r="AQ17" s="510"/>
      <c r="AR17" s="531"/>
      <c r="AS17" s="510"/>
      <c r="AT17" s="511"/>
      <c r="AU17" s="873"/>
      <c r="AV17" s="110" t="s">
        <v>84</v>
      </c>
      <c r="AW17" s="24">
        <f t="shared" si="12"/>
        <v>0</v>
      </c>
      <c r="AX17" s="24">
        <f t="shared" si="13"/>
        <v>0</v>
      </c>
      <c r="AY17" s="24">
        <f t="shared" si="14"/>
        <v>0</v>
      </c>
      <c r="AZ17" s="24">
        <f t="shared" si="15"/>
        <v>0</v>
      </c>
      <c r="BA17" s="110"/>
      <c r="BB17" s="25">
        <f>AW17*'School Info'!$C$21/1000</f>
        <v>0</v>
      </c>
      <c r="BC17" s="25">
        <f>(AX17*'School Info'!$C$22/1000)</f>
        <v>0</v>
      </c>
      <c r="BD17" s="25">
        <f>AY17*'School Info'!$E$21/1000</f>
        <v>0</v>
      </c>
      <c r="BE17" s="25">
        <f>(AZ17*'School Info'!$E$22/1000)</f>
        <v>0</v>
      </c>
      <c r="BG17" s="110">
        <f>IF(OR(AH17&gt;0,AL17&gt;0),MAX($BG$14:BG16)+3,0)</f>
        <v>0</v>
      </c>
      <c r="BI17" s="481"/>
      <c r="BJ17" s="481"/>
      <c r="BK17" s="481"/>
      <c r="BL17" s="481"/>
      <c r="BM17" s="481"/>
      <c r="BN17" s="481"/>
      <c r="BO17" s="481"/>
      <c r="BP17" s="481"/>
    </row>
    <row r="18" spans="1:68" ht="23.25" customHeight="1">
      <c r="A18" s="673"/>
      <c r="B18" s="937"/>
      <c r="C18" s="938"/>
      <c r="D18" s="938"/>
      <c r="E18" s="938"/>
      <c r="F18" s="938"/>
      <c r="G18" s="938"/>
      <c r="H18" s="938"/>
      <c r="I18" s="938"/>
      <c r="J18" s="939"/>
      <c r="K18" s="41">
        <f t="shared" si="5"/>
        <v>0</v>
      </c>
      <c r="L18" s="30">
        <f>IF('School Info'!$W$7&gt;0,L17+1,"--")</f>
        <v>12</v>
      </c>
      <c r="M18" s="9">
        <f t="shared" si="17"/>
        <v>45973</v>
      </c>
      <c r="N18" s="8" t="str">
        <f t="shared" si="6"/>
        <v>Wednesday</v>
      </c>
      <c r="O18" s="64" t="str">
        <f t="shared" si="0"/>
        <v>खुला</v>
      </c>
      <c r="P18" s="6" t="str">
        <f t="shared" si="7"/>
        <v>Wednesday</v>
      </c>
      <c r="Q18" s="71" t="str">
        <f t="shared" si="8"/>
        <v>Milk</v>
      </c>
      <c r="R18" s="6" t="str">
        <f t="shared" si="9"/>
        <v>M</v>
      </c>
      <c r="S18" s="141">
        <f>IF('School Info'!$W$7&gt;=$L18,S17,"---")</f>
        <v>53</v>
      </c>
      <c r="T18" s="141">
        <f>IF('School Info'!$W$7&gt;=$L18,T17,"---")</f>
        <v>61</v>
      </c>
      <c r="U18" s="141">
        <f>IF('School Info'!$W$7&gt;=$L18,U17,"---")</f>
        <v>69</v>
      </c>
      <c r="V18" s="141">
        <f>IF('School Info'!$W$7&gt;=$L18,V17,"---")</f>
        <v>77</v>
      </c>
      <c r="W18" s="141">
        <f>IF('School Info'!$W$7&gt;=$L18,W17,"---")</f>
        <v>85</v>
      </c>
      <c r="X18" s="158">
        <f t="shared" si="18"/>
        <v>345</v>
      </c>
      <c r="Y18" s="141">
        <f>IF('School Info'!$W$7&gt;=$L18,Y17,"---")</f>
        <v>93</v>
      </c>
      <c r="Z18" s="141">
        <f>IF('School Info'!$W$7&gt;=$L18,Z17,"---")</f>
        <v>101</v>
      </c>
      <c r="AA18" s="141">
        <f>IF('School Info'!$W$7&gt;=$L18,AA17,"---")</f>
        <v>109</v>
      </c>
      <c r="AB18" s="157">
        <f t="shared" si="19"/>
        <v>303</v>
      </c>
      <c r="AC18" s="148"/>
      <c r="AD18" s="148"/>
      <c r="AE18" s="148"/>
      <c r="AF18" s="148"/>
      <c r="AG18" s="148"/>
      <c r="AH18" s="157">
        <f t="shared" si="10"/>
        <v>0</v>
      </c>
      <c r="AI18" s="148"/>
      <c r="AJ18" s="148"/>
      <c r="AK18" s="148"/>
      <c r="AL18" s="366">
        <f t="shared" si="11"/>
        <v>0</v>
      </c>
      <c r="AM18" s="510"/>
      <c r="AN18" s="531"/>
      <c r="AO18" s="510"/>
      <c r="AP18" s="531"/>
      <c r="AQ18" s="510"/>
      <c r="AR18" s="531"/>
      <c r="AS18" s="510"/>
      <c r="AT18" s="511"/>
      <c r="AU18" s="873"/>
      <c r="AV18" s="110" t="s">
        <v>85</v>
      </c>
      <c r="AW18" s="24">
        <f t="shared" si="12"/>
        <v>0</v>
      </c>
      <c r="AX18" s="24">
        <f t="shared" si="13"/>
        <v>0</v>
      </c>
      <c r="AY18" s="24">
        <f t="shared" si="14"/>
        <v>0</v>
      </c>
      <c r="AZ18" s="24">
        <f t="shared" si="15"/>
        <v>0</v>
      </c>
      <c r="BA18" s="110"/>
      <c r="BB18" s="25">
        <f>AW18*'School Info'!$C$21/1000</f>
        <v>0</v>
      </c>
      <c r="BC18" s="25">
        <f>(AX18*'School Info'!$C$22/1000)</f>
        <v>0</v>
      </c>
      <c r="BD18" s="25">
        <f>AY18*'School Info'!$E$21/1000</f>
        <v>0</v>
      </c>
      <c r="BE18" s="25">
        <f>(AZ18*'School Info'!$E$22/1000)</f>
        <v>0</v>
      </c>
      <c r="BG18" s="110">
        <f>IF(OR(AH18&gt;0,AL18&gt;0),MAX($BG$14:BG17)+3,0)</f>
        <v>0</v>
      </c>
      <c r="BI18" s="481"/>
      <c r="BJ18" s="481"/>
      <c r="BK18" s="481"/>
      <c r="BL18" s="481"/>
      <c r="BM18" s="481"/>
      <c r="BN18" s="481"/>
      <c r="BO18" s="481"/>
      <c r="BP18" s="481"/>
    </row>
    <row r="19" spans="1:68" ht="23.25" customHeight="1">
      <c r="A19" s="673"/>
      <c r="B19" s="937"/>
      <c r="C19" s="938"/>
      <c r="D19" s="938"/>
      <c r="E19" s="938"/>
      <c r="F19" s="938"/>
      <c r="G19" s="938"/>
      <c r="H19" s="938"/>
      <c r="I19" s="938"/>
      <c r="J19" s="939"/>
      <c r="K19" s="41">
        <f t="shared" si="5"/>
        <v>0</v>
      </c>
      <c r="L19" s="30">
        <f>IF('School Info'!$W$7&gt;0,L18+1,"--")</f>
        <v>13</v>
      </c>
      <c r="M19" s="9">
        <f t="shared" si="17"/>
        <v>45974</v>
      </c>
      <c r="N19" s="8" t="str">
        <f t="shared" si="6"/>
        <v>Thursday</v>
      </c>
      <c r="O19" s="64" t="str">
        <f t="shared" si="0"/>
        <v>खुला</v>
      </c>
      <c r="P19" s="6" t="str">
        <f t="shared" si="7"/>
        <v>Thursday</v>
      </c>
      <c r="Q19" s="71" t="str">
        <f t="shared" si="8"/>
        <v>Milk</v>
      </c>
      <c r="R19" s="6" t="str">
        <f t="shared" si="9"/>
        <v>M</v>
      </c>
      <c r="S19" s="141">
        <f>IF('School Info'!$W$7&gt;=$L19,S18,"---")</f>
        <v>53</v>
      </c>
      <c r="T19" s="141">
        <f>IF('School Info'!$W$7&gt;=$L19,T18,"---")</f>
        <v>61</v>
      </c>
      <c r="U19" s="141">
        <f>IF('School Info'!$W$7&gt;=$L19,U18,"---")</f>
        <v>69</v>
      </c>
      <c r="V19" s="141">
        <f>IF('School Info'!$W$7&gt;=$L19,V18,"---")</f>
        <v>77</v>
      </c>
      <c r="W19" s="141">
        <f>IF('School Info'!$W$7&gt;=$L19,W18,"---")</f>
        <v>85</v>
      </c>
      <c r="X19" s="158">
        <f t="shared" si="18"/>
        <v>345</v>
      </c>
      <c r="Y19" s="141">
        <f>IF('School Info'!$W$7&gt;=$L19,Y18,"---")</f>
        <v>93</v>
      </c>
      <c r="Z19" s="141">
        <f>IF('School Info'!$W$7&gt;=$L19,Z18,"---")</f>
        <v>101</v>
      </c>
      <c r="AA19" s="141">
        <f>IF('School Info'!$W$7&gt;=$L19,AA18,"---")</f>
        <v>109</v>
      </c>
      <c r="AB19" s="157">
        <f t="shared" si="19"/>
        <v>303</v>
      </c>
      <c r="AC19" s="148"/>
      <c r="AD19" s="148"/>
      <c r="AE19" s="148"/>
      <c r="AF19" s="148"/>
      <c r="AG19" s="148"/>
      <c r="AH19" s="157">
        <f t="shared" si="10"/>
        <v>0</v>
      </c>
      <c r="AI19" s="148"/>
      <c r="AJ19" s="148"/>
      <c r="AK19" s="148"/>
      <c r="AL19" s="366">
        <f t="shared" si="11"/>
        <v>0</v>
      </c>
      <c r="AM19" s="510"/>
      <c r="AN19" s="531"/>
      <c r="AO19" s="510"/>
      <c r="AP19" s="531"/>
      <c r="AQ19" s="510"/>
      <c r="AR19" s="531"/>
      <c r="AS19" s="510"/>
      <c r="AT19" s="511"/>
      <c r="AU19" s="873"/>
      <c r="AV19" s="110" t="s">
        <v>86</v>
      </c>
      <c r="AW19" s="24">
        <f t="shared" si="12"/>
        <v>0</v>
      </c>
      <c r="AX19" s="24">
        <f t="shared" si="13"/>
        <v>0</v>
      </c>
      <c r="AY19" s="24">
        <f t="shared" si="14"/>
        <v>0</v>
      </c>
      <c r="AZ19" s="24">
        <f t="shared" si="15"/>
        <v>0</v>
      </c>
      <c r="BA19" s="110"/>
      <c r="BB19" s="25">
        <f>AW19*'School Info'!$C$21/1000</f>
        <v>0</v>
      </c>
      <c r="BC19" s="25">
        <f>(AX19*'School Info'!$C$22/1000)</f>
        <v>0</v>
      </c>
      <c r="BD19" s="25">
        <f>AY19*'School Info'!$E$21/1000</f>
        <v>0</v>
      </c>
      <c r="BE19" s="25">
        <f>(AZ19*'School Info'!$E$22/1000)</f>
        <v>0</v>
      </c>
      <c r="BG19" s="110">
        <f>IF(OR(AH19&gt;0,AL19&gt;0),MAX($BG$14:BG18)+3,0)</f>
        <v>0</v>
      </c>
      <c r="BI19" s="481"/>
      <c r="BJ19" s="481"/>
      <c r="BK19" s="481"/>
      <c r="BL19" s="481"/>
      <c r="BM19" s="481"/>
      <c r="BN19" s="481"/>
      <c r="BO19" s="481"/>
      <c r="BP19" s="481"/>
    </row>
    <row r="20" spans="1:68" ht="23.25" customHeight="1">
      <c r="A20" s="673"/>
      <c r="B20" s="937"/>
      <c r="C20" s="938"/>
      <c r="D20" s="938"/>
      <c r="E20" s="938"/>
      <c r="F20" s="938"/>
      <c r="G20" s="938"/>
      <c r="H20" s="938"/>
      <c r="I20" s="938"/>
      <c r="J20" s="939"/>
      <c r="K20" s="41">
        <f t="shared" si="5"/>
        <v>0</v>
      </c>
      <c r="L20" s="30">
        <f>IF('School Info'!$W$7&gt;0,L19+1,"--")</f>
        <v>14</v>
      </c>
      <c r="M20" s="9">
        <f t="shared" si="17"/>
        <v>45975</v>
      </c>
      <c r="N20" s="8" t="str">
        <f t="shared" si="6"/>
        <v>Friday</v>
      </c>
      <c r="O20" s="64" t="str">
        <f t="shared" si="0"/>
        <v>खुला</v>
      </c>
      <c r="P20" s="6" t="str">
        <f t="shared" si="7"/>
        <v>Friday</v>
      </c>
      <c r="Q20" s="71" t="str">
        <f t="shared" si="8"/>
        <v>Milk</v>
      </c>
      <c r="R20" s="6" t="str">
        <f t="shared" si="9"/>
        <v>M</v>
      </c>
      <c r="S20" s="141">
        <f>IF('School Info'!$W$7&gt;=$L20,S19,"---")</f>
        <v>53</v>
      </c>
      <c r="T20" s="141">
        <f>IF('School Info'!$W$7&gt;=$L20,T19,"---")</f>
        <v>61</v>
      </c>
      <c r="U20" s="141">
        <f>IF('School Info'!$W$7&gt;=$L20,U19,"---")</f>
        <v>69</v>
      </c>
      <c r="V20" s="141">
        <f>IF('School Info'!$W$7&gt;=$L20,V19,"---")</f>
        <v>77</v>
      </c>
      <c r="W20" s="141">
        <f>IF('School Info'!$W$7&gt;=$L20,W19,"---")</f>
        <v>85</v>
      </c>
      <c r="X20" s="158">
        <f t="shared" si="18"/>
        <v>345</v>
      </c>
      <c r="Y20" s="141">
        <f>IF('School Info'!$W$7&gt;=$L20,Y19,"---")</f>
        <v>93</v>
      </c>
      <c r="Z20" s="141">
        <f>IF('School Info'!$W$7&gt;=$L20,Z19,"---")</f>
        <v>101</v>
      </c>
      <c r="AA20" s="141">
        <f>IF('School Info'!$W$7&gt;=$L20,AA19,"---")</f>
        <v>109</v>
      </c>
      <c r="AB20" s="157">
        <f t="shared" si="19"/>
        <v>303</v>
      </c>
      <c r="AC20" s="148"/>
      <c r="AD20" s="148"/>
      <c r="AE20" s="148"/>
      <c r="AF20" s="148"/>
      <c r="AG20" s="148"/>
      <c r="AH20" s="157">
        <f t="shared" si="10"/>
        <v>0</v>
      </c>
      <c r="AI20" s="148"/>
      <c r="AJ20" s="148"/>
      <c r="AK20" s="148"/>
      <c r="AL20" s="366">
        <f t="shared" si="11"/>
        <v>0</v>
      </c>
      <c r="AM20" s="510"/>
      <c r="AN20" s="531"/>
      <c r="AO20" s="510"/>
      <c r="AP20" s="531"/>
      <c r="AQ20" s="510"/>
      <c r="AR20" s="531"/>
      <c r="AS20" s="510"/>
      <c r="AT20" s="511"/>
      <c r="AU20" s="873"/>
      <c r="AV20" s="110" t="s">
        <v>87</v>
      </c>
      <c r="AW20" s="24">
        <f t="shared" si="12"/>
        <v>0</v>
      </c>
      <c r="AX20" s="24">
        <f t="shared" si="13"/>
        <v>0</v>
      </c>
      <c r="AY20" s="24">
        <f t="shared" si="14"/>
        <v>0</v>
      </c>
      <c r="AZ20" s="24">
        <f t="shared" si="15"/>
        <v>0</v>
      </c>
      <c r="BA20" s="110"/>
      <c r="BB20" s="25">
        <f>AW20*'School Info'!$C$21/1000</f>
        <v>0</v>
      </c>
      <c r="BC20" s="25">
        <f>(AX20*'School Info'!$C$22/1000)</f>
        <v>0</v>
      </c>
      <c r="BD20" s="25">
        <f>AY20*'School Info'!$E$21/1000</f>
        <v>0</v>
      </c>
      <c r="BE20" s="25">
        <f>(AZ20*'School Info'!$E$22/1000)</f>
        <v>0</v>
      </c>
      <c r="BG20" s="110">
        <f>IF(OR(AH20&gt;0,AL20&gt;0),MAX($BG$14:BG19)+3,0)</f>
        <v>0</v>
      </c>
      <c r="BI20" s="481"/>
      <c r="BJ20" s="481"/>
      <c r="BK20" s="481"/>
      <c r="BL20" s="481"/>
      <c r="BM20" s="481"/>
      <c r="BN20" s="481"/>
      <c r="BO20" s="481"/>
      <c r="BP20" s="481"/>
    </row>
    <row r="21" spans="1:68" ht="23.25" customHeight="1">
      <c r="A21" s="673"/>
      <c r="B21" s="937"/>
      <c r="C21" s="938"/>
      <c r="D21" s="938"/>
      <c r="E21" s="938"/>
      <c r="F21" s="938"/>
      <c r="G21" s="938"/>
      <c r="H21" s="938"/>
      <c r="I21" s="938"/>
      <c r="J21" s="939"/>
      <c r="K21" s="41">
        <f t="shared" si="5"/>
        <v>0</v>
      </c>
      <c r="L21" s="30">
        <f>IF('School Info'!$W$7&gt;0,L20+1,"--")</f>
        <v>15</v>
      </c>
      <c r="M21" s="9">
        <f t="shared" si="17"/>
        <v>45976</v>
      </c>
      <c r="N21" s="8" t="str">
        <f t="shared" si="6"/>
        <v>Saturday</v>
      </c>
      <c r="O21" s="64" t="str">
        <f t="shared" si="0"/>
        <v>खुला</v>
      </c>
      <c r="P21" s="6" t="str">
        <f t="shared" si="7"/>
        <v>Saturday</v>
      </c>
      <c r="Q21" s="71" t="str">
        <f t="shared" si="8"/>
        <v>Milk</v>
      </c>
      <c r="R21" s="6" t="str">
        <f t="shared" si="9"/>
        <v>M</v>
      </c>
      <c r="S21" s="141">
        <f>IF('School Info'!$W$7&gt;=$L21,S20,"---")</f>
        <v>53</v>
      </c>
      <c r="T21" s="141">
        <f>IF('School Info'!$W$7&gt;=$L21,T20,"---")</f>
        <v>61</v>
      </c>
      <c r="U21" s="141">
        <f>IF('School Info'!$W$7&gt;=$L21,U20,"---")</f>
        <v>69</v>
      </c>
      <c r="V21" s="141">
        <f>IF('School Info'!$W$7&gt;=$L21,V20,"---")</f>
        <v>77</v>
      </c>
      <c r="W21" s="141">
        <f>IF('School Info'!$W$7&gt;=$L21,W20,"---")</f>
        <v>85</v>
      </c>
      <c r="X21" s="158">
        <f t="shared" si="18"/>
        <v>345</v>
      </c>
      <c r="Y21" s="141">
        <f>IF('School Info'!$W$7&gt;=$L21,Y20,"---")</f>
        <v>93</v>
      </c>
      <c r="Z21" s="141">
        <f>IF('School Info'!$W$7&gt;=$L21,Z20,"---")</f>
        <v>101</v>
      </c>
      <c r="AA21" s="141">
        <f>IF('School Info'!$W$7&gt;=$L21,AA20,"---")</f>
        <v>109</v>
      </c>
      <c r="AB21" s="157">
        <f t="shared" si="19"/>
        <v>303</v>
      </c>
      <c r="AC21" s="148"/>
      <c r="AD21" s="148"/>
      <c r="AE21" s="148"/>
      <c r="AF21" s="148"/>
      <c r="AG21" s="148"/>
      <c r="AH21" s="157">
        <f t="shared" si="10"/>
        <v>0</v>
      </c>
      <c r="AI21" s="148"/>
      <c r="AJ21" s="148"/>
      <c r="AK21" s="148"/>
      <c r="AL21" s="366">
        <f t="shared" si="11"/>
        <v>0</v>
      </c>
      <c r="AM21" s="510"/>
      <c r="AN21" s="531"/>
      <c r="AO21" s="510"/>
      <c r="AP21" s="531"/>
      <c r="AQ21" s="510"/>
      <c r="AR21" s="531"/>
      <c r="AS21" s="510"/>
      <c r="AT21" s="511"/>
      <c r="AU21" s="873"/>
      <c r="AV21" s="110" t="s">
        <v>88</v>
      </c>
      <c r="AW21" s="24">
        <f t="shared" si="12"/>
        <v>0</v>
      </c>
      <c r="AX21" s="24">
        <f t="shared" si="13"/>
        <v>0</v>
      </c>
      <c r="AY21" s="24">
        <f t="shared" si="14"/>
        <v>0</v>
      </c>
      <c r="AZ21" s="24">
        <f t="shared" si="15"/>
        <v>0</v>
      </c>
      <c r="BA21" s="110"/>
      <c r="BB21" s="25">
        <f>AW21*'School Info'!$C$21/1000</f>
        <v>0</v>
      </c>
      <c r="BC21" s="25">
        <f>(AX21*'School Info'!$C$22/1000)</f>
        <v>0</v>
      </c>
      <c r="BD21" s="25">
        <f>AY21*'School Info'!$E$21/1000</f>
        <v>0</v>
      </c>
      <c r="BE21" s="25">
        <f>(AZ21*'School Info'!$E$22/1000)</f>
        <v>0</v>
      </c>
      <c r="BG21" s="110">
        <f>IF(OR(AH21&gt;0,AL21&gt;0),4,0)</f>
        <v>0</v>
      </c>
      <c r="BI21" s="480">
        <f>SUM(AM21:AM27)</f>
        <v>0</v>
      </c>
      <c r="BJ21" s="480">
        <f t="shared" ref="BJ21" si="28">SUM(AN21:AN27)</f>
        <v>0</v>
      </c>
      <c r="BK21" s="480">
        <f t="shared" ref="BK21" si="29">SUM(AO21:AO27)</f>
        <v>0</v>
      </c>
      <c r="BL21" s="480">
        <f t="shared" ref="BL21" si="30">SUM(AP21:AP27)</f>
        <v>0</v>
      </c>
      <c r="BM21" s="480">
        <f t="shared" ref="BM21" si="31">SUM(AQ21:AQ27)</f>
        <v>0</v>
      </c>
      <c r="BN21" s="480">
        <f t="shared" ref="BN21" si="32">SUM(AR21:AR27)</f>
        <v>0</v>
      </c>
      <c r="BO21" s="480">
        <f t="shared" ref="BO21" si="33">SUM(AS21:AS27)</f>
        <v>0</v>
      </c>
      <c r="BP21" s="480">
        <f t="shared" ref="BP21" si="34">SUM(AT21:AT27)</f>
        <v>0</v>
      </c>
    </row>
    <row r="22" spans="1:68" ht="23.25" customHeight="1">
      <c r="A22" s="673"/>
      <c r="B22" s="937"/>
      <c r="C22" s="938"/>
      <c r="D22" s="938"/>
      <c r="E22" s="938"/>
      <c r="F22" s="938"/>
      <c r="G22" s="938"/>
      <c r="H22" s="938"/>
      <c r="I22" s="938"/>
      <c r="J22" s="939"/>
      <c r="K22" s="41">
        <f t="shared" si="5"/>
        <v>0</v>
      </c>
      <c r="L22" s="30">
        <f>IF('School Info'!$W$7&gt;0,L21+1,"--")</f>
        <v>16</v>
      </c>
      <c r="M22" s="9">
        <f>M21+1</f>
        <v>45977</v>
      </c>
      <c r="N22" s="8" t="str">
        <f t="shared" si="6"/>
        <v>Sunday</v>
      </c>
      <c r="O22" s="64" t="str">
        <f t="shared" si="0"/>
        <v>रवि॰अव॰</v>
      </c>
      <c r="P22" s="6" t="str">
        <f t="shared" si="7"/>
        <v>Holiday</v>
      </c>
      <c r="Q22" s="71" t="str">
        <f t="shared" si="8"/>
        <v>---</v>
      </c>
      <c r="R22" s="6" t="str">
        <f t="shared" si="9"/>
        <v>---</v>
      </c>
      <c r="S22" s="141">
        <f>IF('School Info'!$W$7&gt;=$L22,S21,"---")</f>
        <v>53</v>
      </c>
      <c r="T22" s="141">
        <f>IF('School Info'!$W$7&gt;=$L22,T21,"---")</f>
        <v>61</v>
      </c>
      <c r="U22" s="141">
        <f>IF('School Info'!$W$7&gt;=$L22,U21,"---")</f>
        <v>69</v>
      </c>
      <c r="V22" s="141">
        <f>IF('School Info'!$W$7&gt;=$L22,V21,"---")</f>
        <v>77</v>
      </c>
      <c r="W22" s="141">
        <f>IF('School Info'!$W$7&gt;=$L22,W21,"---")</f>
        <v>85</v>
      </c>
      <c r="X22" s="158">
        <f t="shared" si="18"/>
        <v>345</v>
      </c>
      <c r="Y22" s="141">
        <f>IF('School Info'!$W$7&gt;=$L22,Y21,"---")</f>
        <v>93</v>
      </c>
      <c r="Z22" s="141">
        <f>IF('School Info'!$W$7&gt;=$L22,Z21,"---")</f>
        <v>101</v>
      </c>
      <c r="AA22" s="141">
        <f>IF('School Info'!$W$7&gt;=$L22,AA21,"---")</f>
        <v>109</v>
      </c>
      <c r="AB22" s="157">
        <f t="shared" si="19"/>
        <v>303</v>
      </c>
      <c r="AC22" s="148"/>
      <c r="AD22" s="148"/>
      <c r="AE22" s="148"/>
      <c r="AF22" s="148"/>
      <c r="AG22" s="148"/>
      <c r="AH22" s="157">
        <f t="shared" si="10"/>
        <v>0</v>
      </c>
      <c r="AI22" s="148"/>
      <c r="AJ22" s="148"/>
      <c r="AK22" s="148"/>
      <c r="AL22" s="366">
        <f t="shared" si="11"/>
        <v>0</v>
      </c>
      <c r="AM22" s="510"/>
      <c r="AN22" s="531"/>
      <c r="AO22" s="510"/>
      <c r="AP22" s="531"/>
      <c r="AQ22" s="510"/>
      <c r="AR22" s="531"/>
      <c r="AS22" s="510"/>
      <c r="AT22" s="511"/>
      <c r="AU22" s="873"/>
      <c r="AV22" s="110" t="s">
        <v>89</v>
      </c>
      <c r="AW22" s="24">
        <f t="shared" si="12"/>
        <v>0</v>
      </c>
      <c r="AX22" s="24">
        <f t="shared" si="13"/>
        <v>0</v>
      </c>
      <c r="AY22" s="24">
        <f t="shared" si="14"/>
        <v>0</v>
      </c>
      <c r="AZ22" s="24">
        <f t="shared" si="15"/>
        <v>0</v>
      </c>
      <c r="BA22" s="110"/>
      <c r="BB22" s="25">
        <f>AW22*'School Info'!$C$21/1000</f>
        <v>0</v>
      </c>
      <c r="BC22" s="25">
        <f>(AX22*'School Info'!$C$22/1000)</f>
        <v>0</v>
      </c>
      <c r="BD22" s="25">
        <f>AY22*'School Info'!$E$21/1000</f>
        <v>0</v>
      </c>
      <c r="BE22" s="25">
        <f>(AZ22*'School Info'!$E$22/1000)</f>
        <v>0</v>
      </c>
      <c r="BG22" s="110">
        <f>IF(OR(AH22&gt;0,AL22&gt;0),MAX(BG21)+4,0)</f>
        <v>0</v>
      </c>
      <c r="BI22" s="481"/>
      <c r="BJ22" s="481"/>
      <c r="BK22" s="481"/>
      <c r="BL22" s="481"/>
      <c r="BM22" s="481"/>
      <c r="BN22" s="481"/>
      <c r="BO22" s="481"/>
      <c r="BP22" s="481"/>
    </row>
    <row r="23" spans="1:68" ht="23.25" customHeight="1">
      <c r="A23" s="673"/>
      <c r="B23" s="937"/>
      <c r="C23" s="938"/>
      <c r="D23" s="938"/>
      <c r="E23" s="938"/>
      <c r="F23" s="938"/>
      <c r="G23" s="938"/>
      <c r="H23" s="938"/>
      <c r="I23" s="938"/>
      <c r="J23" s="939"/>
      <c r="K23" s="41">
        <f t="shared" si="5"/>
        <v>0</v>
      </c>
      <c r="L23" s="30">
        <f>IF('School Info'!$W$7&gt;0,L22+1,"--")</f>
        <v>17</v>
      </c>
      <c r="M23" s="9">
        <f t="shared" si="17"/>
        <v>45978</v>
      </c>
      <c r="N23" s="8" t="str">
        <f t="shared" si="6"/>
        <v>Monday</v>
      </c>
      <c r="O23" s="64" t="str">
        <f t="shared" si="0"/>
        <v>खुला</v>
      </c>
      <c r="P23" s="6" t="str">
        <f t="shared" si="7"/>
        <v>Monday</v>
      </c>
      <c r="Q23" s="71" t="str">
        <f t="shared" si="8"/>
        <v>Milk</v>
      </c>
      <c r="R23" s="6" t="str">
        <f t="shared" si="9"/>
        <v>M</v>
      </c>
      <c r="S23" s="141">
        <f>IF('School Info'!$W$7&gt;=$L23,S22,"---")</f>
        <v>53</v>
      </c>
      <c r="T23" s="141">
        <f>IF('School Info'!$W$7&gt;=$L23,T22,"---")</f>
        <v>61</v>
      </c>
      <c r="U23" s="141">
        <f>IF('School Info'!$W$7&gt;=$L23,U22,"---")</f>
        <v>69</v>
      </c>
      <c r="V23" s="141">
        <f>IF('School Info'!$W$7&gt;=$L23,V22,"---")</f>
        <v>77</v>
      </c>
      <c r="W23" s="141">
        <f>IF('School Info'!$W$7&gt;=$L23,W22,"---")</f>
        <v>85</v>
      </c>
      <c r="X23" s="158">
        <f t="shared" si="18"/>
        <v>345</v>
      </c>
      <c r="Y23" s="141">
        <f>IF('School Info'!$W$7&gt;=$L23,Y22,"---")</f>
        <v>93</v>
      </c>
      <c r="Z23" s="141">
        <f>IF('School Info'!$W$7&gt;=$L23,Z22,"---")</f>
        <v>101</v>
      </c>
      <c r="AA23" s="141">
        <f>IF('School Info'!$W$7&gt;=$L23,AA22,"---")</f>
        <v>109</v>
      </c>
      <c r="AB23" s="157">
        <f t="shared" si="19"/>
        <v>303</v>
      </c>
      <c r="AC23" s="148"/>
      <c r="AD23" s="148"/>
      <c r="AE23" s="148"/>
      <c r="AF23" s="148"/>
      <c r="AG23" s="148"/>
      <c r="AH23" s="157">
        <f t="shared" si="10"/>
        <v>0</v>
      </c>
      <c r="AI23" s="148"/>
      <c r="AJ23" s="148"/>
      <c r="AK23" s="148"/>
      <c r="AL23" s="366">
        <f t="shared" si="11"/>
        <v>0</v>
      </c>
      <c r="AM23" s="510"/>
      <c r="AN23" s="531"/>
      <c r="AO23" s="510"/>
      <c r="AP23" s="531"/>
      <c r="AQ23" s="510"/>
      <c r="AR23" s="531"/>
      <c r="AS23" s="510"/>
      <c r="AT23" s="511"/>
      <c r="AU23" s="873"/>
      <c r="AV23" s="110" t="s">
        <v>90</v>
      </c>
      <c r="AW23" s="24">
        <f t="shared" si="12"/>
        <v>0</v>
      </c>
      <c r="AX23" s="24">
        <f t="shared" si="13"/>
        <v>0</v>
      </c>
      <c r="AY23" s="24">
        <f t="shared" si="14"/>
        <v>0</v>
      </c>
      <c r="AZ23" s="24">
        <f t="shared" si="15"/>
        <v>0</v>
      </c>
      <c r="BA23" s="110"/>
      <c r="BB23" s="25">
        <f>AW23*'School Info'!$C$21/1000</f>
        <v>0</v>
      </c>
      <c r="BC23" s="25">
        <f>(AX23*'School Info'!$C$22/1000)</f>
        <v>0</v>
      </c>
      <c r="BD23" s="25">
        <f>AY23*'School Info'!$E$21/1000</f>
        <v>0</v>
      </c>
      <c r="BE23" s="25">
        <f>(AZ23*'School Info'!$E$22/1000)</f>
        <v>0</v>
      </c>
      <c r="BG23" s="110">
        <f>IF(OR(AH23&gt;0,AL23&gt;0),MAX($BG$21:BG22)+4,0)</f>
        <v>0</v>
      </c>
      <c r="BI23" s="481"/>
      <c r="BJ23" s="481"/>
      <c r="BK23" s="481"/>
      <c r="BL23" s="481"/>
      <c r="BM23" s="481"/>
      <c r="BN23" s="481"/>
      <c r="BO23" s="481"/>
      <c r="BP23" s="481"/>
    </row>
    <row r="24" spans="1:68" ht="23.25" customHeight="1">
      <c r="A24" s="673"/>
      <c r="B24" s="937"/>
      <c r="C24" s="938"/>
      <c r="D24" s="938"/>
      <c r="E24" s="938"/>
      <c r="F24" s="938"/>
      <c r="G24" s="938"/>
      <c r="H24" s="938"/>
      <c r="I24" s="938"/>
      <c r="J24" s="939"/>
      <c r="K24" s="41">
        <f t="shared" si="5"/>
        <v>0</v>
      </c>
      <c r="L24" s="30">
        <f>IF('School Info'!$W$7&gt;0,L23+1,"--")</f>
        <v>18</v>
      </c>
      <c r="M24" s="9">
        <f t="shared" si="17"/>
        <v>45979</v>
      </c>
      <c r="N24" s="8" t="str">
        <f t="shared" si="6"/>
        <v>Tuesday</v>
      </c>
      <c r="O24" s="64" t="str">
        <f t="shared" si="0"/>
        <v>खुला</v>
      </c>
      <c r="P24" s="6" t="str">
        <f t="shared" si="7"/>
        <v>Tuesday</v>
      </c>
      <c r="Q24" s="71" t="str">
        <f t="shared" si="8"/>
        <v>Milk</v>
      </c>
      <c r="R24" s="6" t="str">
        <f t="shared" si="9"/>
        <v>M</v>
      </c>
      <c r="S24" s="141">
        <f>IF('School Info'!$W$7&gt;=$L24,S23,"---")</f>
        <v>53</v>
      </c>
      <c r="T24" s="141">
        <f>IF('School Info'!$W$7&gt;=$L24,T23,"---")</f>
        <v>61</v>
      </c>
      <c r="U24" s="141">
        <f>IF('School Info'!$W$7&gt;=$L24,U23,"---")</f>
        <v>69</v>
      </c>
      <c r="V24" s="141">
        <f>IF('School Info'!$W$7&gt;=$L24,V23,"---")</f>
        <v>77</v>
      </c>
      <c r="W24" s="141">
        <f>IF('School Info'!$W$7&gt;=$L24,W23,"---")</f>
        <v>85</v>
      </c>
      <c r="X24" s="158">
        <f t="shared" si="18"/>
        <v>345</v>
      </c>
      <c r="Y24" s="141">
        <f>IF('School Info'!$W$7&gt;=$L24,Y23,"---")</f>
        <v>93</v>
      </c>
      <c r="Z24" s="141">
        <f>IF('School Info'!$W$7&gt;=$L24,Z23,"---")</f>
        <v>101</v>
      </c>
      <c r="AA24" s="141">
        <f>IF('School Info'!$W$7&gt;=$L24,AA23,"---")</f>
        <v>109</v>
      </c>
      <c r="AB24" s="157">
        <f t="shared" si="19"/>
        <v>303</v>
      </c>
      <c r="AC24" s="148"/>
      <c r="AD24" s="148"/>
      <c r="AE24" s="148"/>
      <c r="AF24" s="148"/>
      <c r="AG24" s="148"/>
      <c r="AH24" s="157">
        <f t="shared" si="10"/>
        <v>0</v>
      </c>
      <c r="AI24" s="148"/>
      <c r="AJ24" s="148"/>
      <c r="AK24" s="148"/>
      <c r="AL24" s="366">
        <f t="shared" si="11"/>
        <v>0</v>
      </c>
      <c r="AM24" s="510"/>
      <c r="AN24" s="531"/>
      <c r="AO24" s="510"/>
      <c r="AP24" s="531"/>
      <c r="AQ24" s="510"/>
      <c r="AR24" s="531"/>
      <c r="AS24" s="510"/>
      <c r="AT24" s="511"/>
      <c r="AU24" s="873"/>
      <c r="AV24" s="110" t="s">
        <v>92</v>
      </c>
      <c r="AW24" s="24">
        <f t="shared" si="12"/>
        <v>0</v>
      </c>
      <c r="AX24" s="24">
        <f t="shared" si="13"/>
        <v>0</v>
      </c>
      <c r="AY24" s="24">
        <f t="shared" si="14"/>
        <v>0</v>
      </c>
      <c r="AZ24" s="24">
        <f t="shared" si="15"/>
        <v>0</v>
      </c>
      <c r="BA24" s="110"/>
      <c r="BB24" s="25">
        <f>AW24*'School Info'!$C$21/1000</f>
        <v>0</v>
      </c>
      <c r="BC24" s="25">
        <f>(AX24*'School Info'!$C$22/1000)</f>
        <v>0</v>
      </c>
      <c r="BD24" s="25">
        <f>AY24*'School Info'!$E$21/1000</f>
        <v>0</v>
      </c>
      <c r="BE24" s="25">
        <f>(AZ24*'School Info'!$E$22/1000)</f>
        <v>0</v>
      </c>
      <c r="BG24" s="110">
        <f>IF(OR(AH24&gt;0,AL24&gt;0),MAX($BG$21:BG23)+4,0)</f>
        <v>0</v>
      </c>
      <c r="BI24" s="481"/>
      <c r="BJ24" s="481"/>
      <c r="BK24" s="481"/>
      <c r="BL24" s="481"/>
      <c r="BM24" s="481"/>
      <c r="BN24" s="481"/>
      <c r="BO24" s="481"/>
      <c r="BP24" s="481"/>
    </row>
    <row r="25" spans="1:68" ht="23.25" customHeight="1">
      <c r="A25" s="673"/>
      <c r="B25" s="937"/>
      <c r="C25" s="938"/>
      <c r="D25" s="938"/>
      <c r="E25" s="938"/>
      <c r="F25" s="938"/>
      <c r="G25" s="938"/>
      <c r="H25" s="938"/>
      <c r="I25" s="938"/>
      <c r="J25" s="939"/>
      <c r="K25" s="41">
        <f t="shared" si="5"/>
        <v>0</v>
      </c>
      <c r="L25" s="30">
        <f>IF('School Info'!$W$7&gt;0,L24+1,"--")</f>
        <v>19</v>
      </c>
      <c r="M25" s="9">
        <f t="shared" si="17"/>
        <v>45980</v>
      </c>
      <c r="N25" s="8" t="str">
        <f t="shared" si="6"/>
        <v>Wednesday</v>
      </c>
      <c r="O25" s="64" t="str">
        <f t="shared" si="0"/>
        <v>खुला</v>
      </c>
      <c r="P25" s="6" t="str">
        <f t="shared" si="7"/>
        <v>Wednesday</v>
      </c>
      <c r="Q25" s="71" t="str">
        <f t="shared" si="8"/>
        <v>Milk</v>
      </c>
      <c r="R25" s="6" t="str">
        <f t="shared" si="9"/>
        <v>M</v>
      </c>
      <c r="S25" s="141">
        <f>IF('School Info'!$W$7&gt;=$L25,S24,"---")</f>
        <v>53</v>
      </c>
      <c r="T25" s="141">
        <f>IF('School Info'!$W$7&gt;=$L25,T24,"---")</f>
        <v>61</v>
      </c>
      <c r="U25" s="141">
        <f>IF('School Info'!$W$7&gt;=$L25,U24,"---")</f>
        <v>69</v>
      </c>
      <c r="V25" s="141">
        <f>IF('School Info'!$W$7&gt;=$L25,V24,"---")</f>
        <v>77</v>
      </c>
      <c r="W25" s="141">
        <f>IF('School Info'!$W$7&gt;=$L25,W24,"---")</f>
        <v>85</v>
      </c>
      <c r="X25" s="158">
        <f t="shared" si="18"/>
        <v>345</v>
      </c>
      <c r="Y25" s="141">
        <f>IF('School Info'!$W$7&gt;=$L25,Y24,"---")</f>
        <v>93</v>
      </c>
      <c r="Z25" s="141">
        <f>IF('School Info'!$W$7&gt;=$L25,Z24,"---")</f>
        <v>101</v>
      </c>
      <c r="AA25" s="141">
        <f>IF('School Info'!$W$7&gt;=$L25,AA24,"---")</f>
        <v>109</v>
      </c>
      <c r="AB25" s="157">
        <f t="shared" si="19"/>
        <v>303</v>
      </c>
      <c r="AC25" s="148"/>
      <c r="AD25" s="148"/>
      <c r="AE25" s="148"/>
      <c r="AF25" s="148"/>
      <c r="AG25" s="148"/>
      <c r="AH25" s="157">
        <f t="shared" si="10"/>
        <v>0</v>
      </c>
      <c r="AI25" s="148"/>
      <c r="AJ25" s="148"/>
      <c r="AK25" s="148"/>
      <c r="AL25" s="366">
        <f t="shared" si="11"/>
        <v>0</v>
      </c>
      <c r="AM25" s="510"/>
      <c r="AN25" s="531"/>
      <c r="AO25" s="510"/>
      <c r="AP25" s="531"/>
      <c r="AQ25" s="510"/>
      <c r="AR25" s="531"/>
      <c r="AS25" s="510"/>
      <c r="AT25" s="511"/>
      <c r="AU25" s="873"/>
      <c r="AV25" s="110" t="s">
        <v>91</v>
      </c>
      <c r="AW25" s="24">
        <f t="shared" si="12"/>
        <v>0</v>
      </c>
      <c r="AX25" s="24">
        <f t="shared" si="13"/>
        <v>0</v>
      </c>
      <c r="AY25" s="24">
        <f t="shared" si="14"/>
        <v>0</v>
      </c>
      <c r="AZ25" s="24">
        <f t="shared" si="15"/>
        <v>0</v>
      </c>
      <c r="BA25" s="110"/>
      <c r="BB25" s="25">
        <f>AW25*'School Info'!$C$21/1000</f>
        <v>0</v>
      </c>
      <c r="BC25" s="25">
        <f>(AX25*'School Info'!$C$22/1000)</f>
        <v>0</v>
      </c>
      <c r="BD25" s="25">
        <f>AY25*'School Info'!$E$21/1000</f>
        <v>0</v>
      </c>
      <c r="BE25" s="25">
        <f>(AZ25*'School Info'!$E$22/1000)</f>
        <v>0</v>
      </c>
      <c r="BG25" s="110">
        <f>IF(OR(AH25&gt;0,AL25&gt;0),MAX($BG$21:BG24)+4,0)</f>
        <v>0</v>
      </c>
      <c r="BI25" s="481"/>
      <c r="BJ25" s="481"/>
      <c r="BK25" s="481"/>
      <c r="BL25" s="481"/>
      <c r="BM25" s="481"/>
      <c r="BN25" s="481"/>
      <c r="BO25" s="481"/>
      <c r="BP25" s="481"/>
    </row>
    <row r="26" spans="1:68" ht="23.25" customHeight="1">
      <c r="A26" s="673"/>
      <c r="B26" s="937"/>
      <c r="C26" s="938"/>
      <c r="D26" s="938"/>
      <c r="E26" s="938"/>
      <c r="F26" s="938"/>
      <c r="G26" s="938"/>
      <c r="H26" s="938"/>
      <c r="I26" s="938"/>
      <c r="J26" s="939"/>
      <c r="K26" s="41">
        <f t="shared" si="5"/>
        <v>0</v>
      </c>
      <c r="L26" s="30">
        <f>IF('School Info'!$W$7&gt;0,L25+1,"--")</f>
        <v>20</v>
      </c>
      <c r="M26" s="9">
        <f t="shared" si="17"/>
        <v>45981</v>
      </c>
      <c r="N26" s="8" t="str">
        <f t="shared" si="6"/>
        <v>Thursday</v>
      </c>
      <c r="O26" s="64" t="str">
        <f t="shared" si="0"/>
        <v>खुला</v>
      </c>
      <c r="P26" s="6" t="str">
        <f t="shared" si="7"/>
        <v>Thursday</v>
      </c>
      <c r="Q26" s="71" t="str">
        <f t="shared" si="8"/>
        <v>Milk</v>
      </c>
      <c r="R26" s="6" t="str">
        <f t="shared" si="9"/>
        <v>M</v>
      </c>
      <c r="S26" s="141">
        <f>IF('School Info'!$W$7&gt;=$L26,S25,"---")</f>
        <v>53</v>
      </c>
      <c r="T26" s="141">
        <f>IF('School Info'!$W$7&gt;=$L26,T25,"---")</f>
        <v>61</v>
      </c>
      <c r="U26" s="141">
        <f>IF('School Info'!$W$7&gt;=$L26,U25,"---")</f>
        <v>69</v>
      </c>
      <c r="V26" s="141">
        <f>IF('School Info'!$W$7&gt;=$L26,V25,"---")</f>
        <v>77</v>
      </c>
      <c r="W26" s="141">
        <f>IF('School Info'!$W$7&gt;=$L26,W25,"---")</f>
        <v>85</v>
      </c>
      <c r="X26" s="158">
        <f t="shared" si="18"/>
        <v>345</v>
      </c>
      <c r="Y26" s="141">
        <f>IF('School Info'!$W$7&gt;=$L26,Y25,"---")</f>
        <v>93</v>
      </c>
      <c r="Z26" s="141">
        <f>IF('School Info'!$W$7&gt;=$L26,Z25,"---")</f>
        <v>101</v>
      </c>
      <c r="AA26" s="141">
        <f>IF('School Info'!$W$7&gt;=$L26,AA25,"---")</f>
        <v>109</v>
      </c>
      <c r="AB26" s="157">
        <f t="shared" si="19"/>
        <v>303</v>
      </c>
      <c r="AC26" s="148"/>
      <c r="AD26" s="148"/>
      <c r="AE26" s="148"/>
      <c r="AF26" s="148"/>
      <c r="AG26" s="148"/>
      <c r="AH26" s="157">
        <f t="shared" si="10"/>
        <v>0</v>
      </c>
      <c r="AI26" s="148"/>
      <c r="AJ26" s="148"/>
      <c r="AK26" s="148"/>
      <c r="AL26" s="366">
        <f t="shared" si="11"/>
        <v>0</v>
      </c>
      <c r="AM26" s="510"/>
      <c r="AN26" s="531"/>
      <c r="AO26" s="510"/>
      <c r="AP26" s="531"/>
      <c r="AQ26" s="510"/>
      <c r="AR26" s="531"/>
      <c r="AS26" s="510"/>
      <c r="AT26" s="511"/>
      <c r="AU26" s="873"/>
      <c r="AV26" s="110" t="s">
        <v>93</v>
      </c>
      <c r="AW26" s="24">
        <f t="shared" si="12"/>
        <v>0</v>
      </c>
      <c r="AX26" s="24">
        <f t="shared" si="13"/>
        <v>0</v>
      </c>
      <c r="AY26" s="24">
        <f t="shared" si="14"/>
        <v>0</v>
      </c>
      <c r="AZ26" s="24">
        <f t="shared" si="15"/>
        <v>0</v>
      </c>
      <c r="BA26" s="110"/>
      <c r="BB26" s="25">
        <f>AW26*'School Info'!$C$21/1000</f>
        <v>0</v>
      </c>
      <c r="BC26" s="25">
        <f>(AX26*'School Info'!$C$22/1000)</f>
        <v>0</v>
      </c>
      <c r="BD26" s="25">
        <f>AY26*'School Info'!$E$21/1000</f>
        <v>0</v>
      </c>
      <c r="BE26" s="25">
        <f>(AZ26*'School Info'!$E$22/1000)</f>
        <v>0</v>
      </c>
      <c r="BG26" s="110">
        <f>IF(OR(AH26&gt;0,AL26&gt;0),MAX($BG$21:BG25)+4,0)</f>
        <v>0</v>
      </c>
      <c r="BI26" s="481"/>
      <c r="BJ26" s="481"/>
      <c r="BK26" s="481"/>
      <c r="BL26" s="481"/>
      <c r="BM26" s="481"/>
      <c r="BN26" s="481"/>
      <c r="BO26" s="481"/>
      <c r="BP26" s="481"/>
    </row>
    <row r="27" spans="1:68" ht="23.25" customHeight="1">
      <c r="A27" s="673"/>
      <c r="B27" s="937"/>
      <c r="C27" s="938"/>
      <c r="D27" s="938"/>
      <c r="E27" s="938"/>
      <c r="F27" s="938"/>
      <c r="G27" s="938"/>
      <c r="H27" s="938"/>
      <c r="I27" s="938"/>
      <c r="J27" s="939"/>
      <c r="K27" s="41">
        <f t="shared" si="5"/>
        <v>0</v>
      </c>
      <c r="L27" s="30">
        <f>IF('School Info'!$W$7&gt;0,L26+1,"--")</f>
        <v>21</v>
      </c>
      <c r="M27" s="9">
        <f t="shared" si="17"/>
        <v>45982</v>
      </c>
      <c r="N27" s="8" t="str">
        <f t="shared" si="6"/>
        <v>Friday</v>
      </c>
      <c r="O27" s="64" t="str">
        <f t="shared" si="0"/>
        <v>खुला</v>
      </c>
      <c r="P27" s="6" t="str">
        <f t="shared" si="7"/>
        <v>Friday</v>
      </c>
      <c r="Q27" s="71" t="str">
        <f t="shared" si="8"/>
        <v>Milk</v>
      </c>
      <c r="R27" s="6" t="str">
        <f t="shared" si="9"/>
        <v>M</v>
      </c>
      <c r="S27" s="141">
        <f>IF('School Info'!$W$7&gt;=$L27,S26,"---")</f>
        <v>53</v>
      </c>
      <c r="T27" s="141">
        <f>IF('School Info'!$W$7&gt;=$L27,T26,"---")</f>
        <v>61</v>
      </c>
      <c r="U27" s="141">
        <f>IF('School Info'!$W$7&gt;=$L27,U26,"---")</f>
        <v>69</v>
      </c>
      <c r="V27" s="141">
        <f>IF('School Info'!$W$7&gt;=$L27,V26,"---")</f>
        <v>77</v>
      </c>
      <c r="W27" s="141">
        <f>IF('School Info'!$W$7&gt;=$L27,W26,"---")</f>
        <v>85</v>
      </c>
      <c r="X27" s="158">
        <f t="shared" si="18"/>
        <v>345</v>
      </c>
      <c r="Y27" s="141">
        <f>IF('School Info'!$W$7&gt;=$L27,Y26,"---")</f>
        <v>93</v>
      </c>
      <c r="Z27" s="141">
        <f>IF('School Info'!$W$7&gt;=$L27,Z26,"---")</f>
        <v>101</v>
      </c>
      <c r="AA27" s="141">
        <f>IF('School Info'!$W$7&gt;=$L27,AA26,"---")</f>
        <v>109</v>
      </c>
      <c r="AB27" s="157">
        <f t="shared" si="19"/>
        <v>303</v>
      </c>
      <c r="AC27" s="148"/>
      <c r="AD27" s="148"/>
      <c r="AE27" s="148"/>
      <c r="AF27" s="148"/>
      <c r="AG27" s="148"/>
      <c r="AH27" s="157">
        <f t="shared" si="10"/>
        <v>0</v>
      </c>
      <c r="AI27" s="148"/>
      <c r="AJ27" s="148"/>
      <c r="AK27" s="148"/>
      <c r="AL27" s="366">
        <f t="shared" si="11"/>
        <v>0</v>
      </c>
      <c r="AM27" s="510"/>
      <c r="AN27" s="531"/>
      <c r="AO27" s="510"/>
      <c r="AP27" s="531"/>
      <c r="AQ27" s="510"/>
      <c r="AR27" s="531"/>
      <c r="AS27" s="510"/>
      <c r="AT27" s="511"/>
      <c r="AU27" s="873"/>
      <c r="AV27" s="110" t="s">
        <v>94</v>
      </c>
      <c r="AW27" s="24">
        <f t="shared" si="12"/>
        <v>0</v>
      </c>
      <c r="AX27" s="24">
        <f t="shared" si="13"/>
        <v>0</v>
      </c>
      <c r="AY27" s="24">
        <f t="shared" si="14"/>
        <v>0</v>
      </c>
      <c r="AZ27" s="24">
        <f t="shared" si="15"/>
        <v>0</v>
      </c>
      <c r="BA27" s="110"/>
      <c r="BB27" s="25">
        <f>AW27*'School Info'!$C$21/1000</f>
        <v>0</v>
      </c>
      <c r="BC27" s="25">
        <f>(AX27*'School Info'!$C$22/1000)</f>
        <v>0</v>
      </c>
      <c r="BD27" s="25">
        <f>AY27*'School Info'!$E$21/1000</f>
        <v>0</v>
      </c>
      <c r="BE27" s="25">
        <f>(AZ27*'School Info'!$E$22/1000)</f>
        <v>0</v>
      </c>
      <c r="BG27" s="110">
        <f>IF(OR(AH27&gt;0,AL27&gt;0),MAX($BG$21:BG26)+4,0)</f>
        <v>0</v>
      </c>
      <c r="BI27" s="481"/>
      <c r="BJ27" s="481"/>
      <c r="BK27" s="481"/>
      <c r="BL27" s="481"/>
      <c r="BM27" s="481"/>
      <c r="BN27" s="481"/>
      <c r="BO27" s="481"/>
      <c r="BP27" s="481"/>
    </row>
    <row r="28" spans="1:68" ht="23.25" customHeight="1">
      <c r="A28" s="673"/>
      <c r="B28" s="937"/>
      <c r="C28" s="938"/>
      <c r="D28" s="938"/>
      <c r="E28" s="938"/>
      <c r="F28" s="938"/>
      <c r="G28" s="938"/>
      <c r="H28" s="938"/>
      <c r="I28" s="938"/>
      <c r="J28" s="939"/>
      <c r="K28" s="41">
        <f t="shared" si="5"/>
        <v>0</v>
      </c>
      <c r="L28" s="30">
        <f>IF('School Info'!$W$7&gt;21,L27+1,"--")</f>
        <v>22</v>
      </c>
      <c r="M28" s="9">
        <f t="shared" si="17"/>
        <v>45983</v>
      </c>
      <c r="N28" s="8" t="str">
        <f t="shared" si="6"/>
        <v>Saturday</v>
      </c>
      <c r="O28" s="64" t="str">
        <f t="shared" si="0"/>
        <v>खुला</v>
      </c>
      <c r="P28" s="6" t="str">
        <f t="shared" si="7"/>
        <v>Saturday</v>
      </c>
      <c r="Q28" s="71" t="str">
        <f t="shared" si="8"/>
        <v>Milk</v>
      </c>
      <c r="R28" s="6" t="str">
        <f t="shared" si="9"/>
        <v>M</v>
      </c>
      <c r="S28" s="141">
        <f>IF('School Info'!$W$7&gt;=$L28,S27,"---")</f>
        <v>53</v>
      </c>
      <c r="T28" s="141">
        <f>IF('School Info'!$W$7&gt;=$L28,T27,"---")</f>
        <v>61</v>
      </c>
      <c r="U28" s="141">
        <f>IF('School Info'!$W$7&gt;=$L28,U27,"---")</f>
        <v>69</v>
      </c>
      <c r="V28" s="141">
        <f>IF('School Info'!$W$7&gt;=$L28,V27,"---")</f>
        <v>77</v>
      </c>
      <c r="W28" s="141">
        <f>IF('School Info'!$W$7&gt;=$L28,W27,"---")</f>
        <v>85</v>
      </c>
      <c r="X28" s="158">
        <f t="shared" si="18"/>
        <v>345</v>
      </c>
      <c r="Y28" s="141">
        <f>IF('School Info'!$W$7&gt;=$L28,Y27,"---")</f>
        <v>93</v>
      </c>
      <c r="Z28" s="141">
        <f>IF('School Info'!$W$7&gt;=$L28,Z27,"---")</f>
        <v>101</v>
      </c>
      <c r="AA28" s="141">
        <f>IF('School Info'!$W$7&gt;=$L28,AA27,"---")</f>
        <v>109</v>
      </c>
      <c r="AB28" s="157">
        <f t="shared" si="19"/>
        <v>303</v>
      </c>
      <c r="AC28" s="148"/>
      <c r="AD28" s="148"/>
      <c r="AE28" s="148"/>
      <c r="AF28" s="148"/>
      <c r="AG28" s="148"/>
      <c r="AH28" s="157">
        <f t="shared" si="10"/>
        <v>0</v>
      </c>
      <c r="AI28" s="148"/>
      <c r="AJ28" s="148"/>
      <c r="AK28" s="148"/>
      <c r="AL28" s="366">
        <f t="shared" si="11"/>
        <v>0</v>
      </c>
      <c r="AM28" s="510"/>
      <c r="AN28" s="531"/>
      <c r="AO28" s="510"/>
      <c r="AP28" s="531"/>
      <c r="AQ28" s="510"/>
      <c r="AR28" s="531"/>
      <c r="AS28" s="510"/>
      <c r="AT28" s="511"/>
      <c r="AU28" s="873"/>
      <c r="AV28" s="110" t="s">
        <v>95</v>
      </c>
      <c r="AW28" s="24">
        <f t="shared" si="12"/>
        <v>0</v>
      </c>
      <c r="AX28" s="24">
        <f t="shared" si="13"/>
        <v>0</v>
      </c>
      <c r="AY28" s="24">
        <f t="shared" si="14"/>
        <v>0</v>
      </c>
      <c r="AZ28" s="24">
        <f t="shared" si="15"/>
        <v>0</v>
      </c>
      <c r="BA28" s="110"/>
      <c r="BB28" s="25">
        <f>AW28*'School Info'!$C$21/1000</f>
        <v>0</v>
      </c>
      <c r="BC28" s="25">
        <f>(AX28*'School Info'!$C$22/1000)</f>
        <v>0</v>
      </c>
      <c r="BD28" s="25">
        <f>AY28*'School Info'!$E$21/1000</f>
        <v>0</v>
      </c>
      <c r="BE28" s="25">
        <f>(AZ28*'School Info'!$E$22/1000)</f>
        <v>0</v>
      </c>
      <c r="BG28" s="110">
        <f>IF(OR(AH28&gt;0,AL28&gt;0),5,0)</f>
        <v>0</v>
      </c>
      <c r="BI28" s="480">
        <f>SUM(AM28:AM34)</f>
        <v>0</v>
      </c>
      <c r="BJ28" s="480">
        <f t="shared" ref="BJ28" si="35">SUM(AN28:AN34)</f>
        <v>0</v>
      </c>
      <c r="BK28" s="480">
        <f t="shared" ref="BK28" si="36">SUM(AO28:AO34)</f>
        <v>0</v>
      </c>
      <c r="BL28" s="480">
        <f t="shared" ref="BL28" si="37">SUM(AP28:AP34)</f>
        <v>0</v>
      </c>
      <c r="BM28" s="480">
        <f t="shared" ref="BM28" si="38">SUM(AQ28:AQ34)</f>
        <v>0</v>
      </c>
      <c r="BN28" s="480">
        <f t="shared" ref="BN28" si="39">SUM(AR28:AR34)</f>
        <v>0</v>
      </c>
      <c r="BO28" s="480">
        <f t="shared" ref="BO28" si="40">SUM(AS28:AS34)</f>
        <v>0</v>
      </c>
      <c r="BP28" s="480">
        <f t="shared" ref="BP28" si="41">SUM(AT28:AT34)</f>
        <v>0</v>
      </c>
    </row>
    <row r="29" spans="1:68" ht="23.25" customHeight="1">
      <c r="A29" s="673"/>
      <c r="B29" s="937"/>
      <c r="C29" s="938"/>
      <c r="D29" s="938"/>
      <c r="E29" s="938"/>
      <c r="F29" s="938"/>
      <c r="G29" s="938"/>
      <c r="H29" s="938"/>
      <c r="I29" s="938"/>
      <c r="J29" s="939"/>
      <c r="K29" s="41">
        <f t="shared" si="5"/>
        <v>0</v>
      </c>
      <c r="L29" s="30">
        <f>IF('School Info'!$W$7&gt;22,L28+1,"--")</f>
        <v>23</v>
      </c>
      <c r="M29" s="9">
        <f t="shared" si="17"/>
        <v>45984</v>
      </c>
      <c r="N29" s="8" t="str">
        <f t="shared" si="6"/>
        <v>Sunday</v>
      </c>
      <c r="O29" s="64" t="str">
        <f t="shared" si="0"/>
        <v>रवि॰अव॰</v>
      </c>
      <c r="P29" s="6" t="str">
        <f t="shared" si="7"/>
        <v>Holiday</v>
      </c>
      <c r="Q29" s="71" t="str">
        <f t="shared" si="8"/>
        <v>---</v>
      </c>
      <c r="R29" s="6" t="str">
        <f t="shared" si="9"/>
        <v>---</v>
      </c>
      <c r="S29" s="141">
        <f>IF('School Info'!$W$7&gt;=$L29,S28,"---")</f>
        <v>53</v>
      </c>
      <c r="T29" s="141">
        <f>IF('School Info'!$W$7&gt;=$L29,T28,"---")</f>
        <v>61</v>
      </c>
      <c r="U29" s="141">
        <f>IF('School Info'!$W$7&gt;=$L29,U28,"---")</f>
        <v>69</v>
      </c>
      <c r="V29" s="141">
        <f>IF('School Info'!$W$7&gt;=$L29,V28,"---")</f>
        <v>77</v>
      </c>
      <c r="W29" s="141">
        <f>IF('School Info'!$W$7&gt;=$L29,W28,"---")</f>
        <v>85</v>
      </c>
      <c r="X29" s="158">
        <f t="shared" si="18"/>
        <v>345</v>
      </c>
      <c r="Y29" s="141">
        <f>IF('School Info'!$W$7&gt;=$L29,Y28,"---")</f>
        <v>93</v>
      </c>
      <c r="Z29" s="141">
        <f>IF('School Info'!$W$7&gt;=$L29,Z28,"---")</f>
        <v>101</v>
      </c>
      <c r="AA29" s="141">
        <f>IF('School Info'!$W$7&gt;=$L29,AA28,"---")</f>
        <v>109</v>
      </c>
      <c r="AB29" s="157">
        <f t="shared" si="19"/>
        <v>303</v>
      </c>
      <c r="AC29" s="148"/>
      <c r="AD29" s="148"/>
      <c r="AE29" s="148"/>
      <c r="AF29" s="148"/>
      <c r="AG29" s="148"/>
      <c r="AH29" s="157">
        <f t="shared" si="10"/>
        <v>0</v>
      </c>
      <c r="AI29" s="148"/>
      <c r="AJ29" s="148"/>
      <c r="AK29" s="148"/>
      <c r="AL29" s="366">
        <f t="shared" si="11"/>
        <v>0</v>
      </c>
      <c r="AM29" s="510"/>
      <c r="AN29" s="531"/>
      <c r="AO29" s="510"/>
      <c r="AP29" s="531"/>
      <c r="AQ29" s="510"/>
      <c r="AR29" s="531"/>
      <c r="AS29" s="510"/>
      <c r="AT29" s="511"/>
      <c r="AU29" s="873"/>
      <c r="AV29" s="110" t="s">
        <v>96</v>
      </c>
      <c r="AW29" s="24">
        <f t="shared" si="12"/>
        <v>0</v>
      </c>
      <c r="AX29" s="24">
        <f t="shared" si="13"/>
        <v>0</v>
      </c>
      <c r="AY29" s="24">
        <f t="shared" si="14"/>
        <v>0</v>
      </c>
      <c r="AZ29" s="24">
        <f t="shared" si="15"/>
        <v>0</v>
      </c>
      <c r="BA29" s="110"/>
      <c r="BB29" s="25">
        <f>AW29*'School Info'!$C$21/1000</f>
        <v>0</v>
      </c>
      <c r="BC29" s="25">
        <f>(AX29*'School Info'!$C$22/1000)</f>
        <v>0</v>
      </c>
      <c r="BD29" s="25">
        <f>AY29*'School Info'!$E$21/1000</f>
        <v>0</v>
      </c>
      <c r="BE29" s="25">
        <f>(AZ29*'School Info'!$E$22/1000)</f>
        <v>0</v>
      </c>
      <c r="BG29" s="110">
        <f>IF(OR(AH29&gt;0,AL29&gt;0),MAX(BG28)+5,0)</f>
        <v>0</v>
      </c>
      <c r="BI29" s="481"/>
      <c r="BJ29" s="481"/>
      <c r="BK29" s="481"/>
      <c r="BL29" s="481"/>
      <c r="BM29" s="481"/>
      <c r="BN29" s="481"/>
      <c r="BO29" s="481"/>
      <c r="BP29" s="481"/>
    </row>
    <row r="30" spans="1:68" ht="23.25" customHeight="1">
      <c r="A30" s="673"/>
      <c r="B30" s="937"/>
      <c r="C30" s="938"/>
      <c r="D30" s="938"/>
      <c r="E30" s="938"/>
      <c r="F30" s="938"/>
      <c r="G30" s="938"/>
      <c r="H30" s="938"/>
      <c r="I30" s="938"/>
      <c r="J30" s="939"/>
      <c r="K30" s="41">
        <f t="shared" si="5"/>
        <v>0</v>
      </c>
      <c r="L30" s="30">
        <f>IF('School Info'!$W$7&gt;23,L29+1,"--")</f>
        <v>24</v>
      </c>
      <c r="M30" s="9">
        <f>M29+1</f>
        <v>45985</v>
      </c>
      <c r="N30" s="8" t="str">
        <f t="shared" si="6"/>
        <v>Monday</v>
      </c>
      <c r="O30" s="64" t="str">
        <f t="shared" si="0"/>
        <v>खुला</v>
      </c>
      <c r="P30" s="6" t="str">
        <f t="shared" si="7"/>
        <v>Monday</v>
      </c>
      <c r="Q30" s="71" t="str">
        <f t="shared" si="8"/>
        <v>Milk</v>
      </c>
      <c r="R30" s="6" t="str">
        <f t="shared" si="9"/>
        <v>M</v>
      </c>
      <c r="S30" s="141">
        <f>IF('School Info'!$W$7&gt;=$L30,S29,"---")</f>
        <v>53</v>
      </c>
      <c r="T30" s="141">
        <f>IF('School Info'!$W$7&gt;=$L30,T29,"---")</f>
        <v>61</v>
      </c>
      <c r="U30" s="141">
        <f>IF('School Info'!$W$7&gt;=$L30,U29,"---")</f>
        <v>69</v>
      </c>
      <c r="V30" s="141">
        <f>IF('School Info'!$W$7&gt;=$L30,V29,"---")</f>
        <v>77</v>
      </c>
      <c r="W30" s="141">
        <f>IF('School Info'!$W$7&gt;=$L30,W29,"---")</f>
        <v>85</v>
      </c>
      <c r="X30" s="158">
        <f t="shared" si="18"/>
        <v>345</v>
      </c>
      <c r="Y30" s="141">
        <f>IF('School Info'!$W$7&gt;=$L30,Y29,"---")</f>
        <v>93</v>
      </c>
      <c r="Z30" s="141">
        <f>IF('School Info'!$W$7&gt;=$L30,Z29,"---")</f>
        <v>101</v>
      </c>
      <c r="AA30" s="141">
        <f>IF('School Info'!$W$7&gt;=$L30,AA29,"---")</f>
        <v>109</v>
      </c>
      <c r="AB30" s="157">
        <f t="shared" si="19"/>
        <v>303</v>
      </c>
      <c r="AC30" s="148"/>
      <c r="AD30" s="148"/>
      <c r="AE30" s="148"/>
      <c r="AF30" s="148"/>
      <c r="AG30" s="148"/>
      <c r="AH30" s="157">
        <f t="shared" si="10"/>
        <v>0</v>
      </c>
      <c r="AI30" s="148"/>
      <c r="AJ30" s="148"/>
      <c r="AK30" s="148"/>
      <c r="AL30" s="366">
        <f t="shared" si="11"/>
        <v>0</v>
      </c>
      <c r="AM30" s="510"/>
      <c r="AN30" s="531"/>
      <c r="AO30" s="510"/>
      <c r="AP30" s="531"/>
      <c r="AQ30" s="510"/>
      <c r="AR30" s="531"/>
      <c r="AS30" s="510"/>
      <c r="AT30" s="511"/>
      <c r="AU30" s="873"/>
      <c r="AV30" s="110" t="s">
        <v>97</v>
      </c>
      <c r="AW30" s="24">
        <f t="shared" si="12"/>
        <v>0</v>
      </c>
      <c r="AX30" s="24">
        <f t="shared" si="13"/>
        <v>0</v>
      </c>
      <c r="AY30" s="24">
        <f t="shared" si="14"/>
        <v>0</v>
      </c>
      <c r="AZ30" s="24">
        <f t="shared" si="15"/>
        <v>0</v>
      </c>
      <c r="BA30" s="110"/>
      <c r="BB30" s="25">
        <f>AW30*'School Info'!$C$21/1000</f>
        <v>0</v>
      </c>
      <c r="BC30" s="25">
        <f>(AX30*'School Info'!$C$22/1000)</f>
        <v>0</v>
      </c>
      <c r="BD30" s="25">
        <f>AY30*'School Info'!$E$21/1000</f>
        <v>0</v>
      </c>
      <c r="BE30" s="25">
        <f>(AZ30*'School Info'!$E$22/1000)</f>
        <v>0</v>
      </c>
      <c r="BG30" s="110">
        <f>IF(OR(AH30&gt;0,AL30&gt;0),MAX($BG$28:BG29)+5,0)</f>
        <v>0</v>
      </c>
      <c r="BI30" s="481"/>
      <c r="BJ30" s="481"/>
      <c r="BK30" s="481"/>
      <c r="BL30" s="481"/>
      <c r="BM30" s="481"/>
      <c r="BN30" s="481"/>
      <c r="BO30" s="481"/>
      <c r="BP30" s="481"/>
    </row>
    <row r="31" spans="1:68" ht="23.25" customHeight="1">
      <c r="A31" s="673"/>
      <c r="B31" s="937"/>
      <c r="C31" s="938"/>
      <c r="D31" s="938"/>
      <c r="E31" s="938"/>
      <c r="F31" s="938"/>
      <c r="G31" s="938"/>
      <c r="H31" s="938"/>
      <c r="I31" s="938"/>
      <c r="J31" s="939"/>
      <c r="K31" s="41">
        <f t="shared" si="5"/>
        <v>0</v>
      </c>
      <c r="L31" s="30">
        <f>IF('School Info'!$W$7&gt;24,L30+1,"--")</f>
        <v>25</v>
      </c>
      <c r="M31" s="9">
        <f t="shared" si="17"/>
        <v>45986</v>
      </c>
      <c r="N31" s="8" t="str">
        <f t="shared" si="6"/>
        <v>Tuesday</v>
      </c>
      <c r="O31" s="64" t="str">
        <f t="shared" si="0"/>
        <v>खुला</v>
      </c>
      <c r="P31" s="6" t="str">
        <f t="shared" si="7"/>
        <v>Tuesday</v>
      </c>
      <c r="Q31" s="71" t="str">
        <f t="shared" si="8"/>
        <v>Milk</v>
      </c>
      <c r="R31" s="6" t="str">
        <f t="shared" si="9"/>
        <v>M</v>
      </c>
      <c r="S31" s="141">
        <f>IF('School Info'!$W$7&gt;=$L31,S30,"---")</f>
        <v>53</v>
      </c>
      <c r="T31" s="141">
        <f>IF('School Info'!$W$7&gt;=$L31,T30,"---")</f>
        <v>61</v>
      </c>
      <c r="U31" s="141">
        <f>IF('School Info'!$W$7&gt;=$L31,U30,"---")</f>
        <v>69</v>
      </c>
      <c r="V31" s="141">
        <f>IF('School Info'!$W$7&gt;=$L31,V30,"---")</f>
        <v>77</v>
      </c>
      <c r="W31" s="141">
        <f>IF('School Info'!$W$7&gt;=$L31,W30,"---")</f>
        <v>85</v>
      </c>
      <c r="X31" s="158">
        <f t="shared" si="18"/>
        <v>345</v>
      </c>
      <c r="Y31" s="141">
        <f>IF('School Info'!$W$7&gt;=$L31,Y30,"---")</f>
        <v>93</v>
      </c>
      <c r="Z31" s="141">
        <f>IF('School Info'!$W$7&gt;=$L31,Z30,"---")</f>
        <v>101</v>
      </c>
      <c r="AA31" s="141">
        <f>IF('School Info'!$W$7&gt;=$L31,AA30,"---")</f>
        <v>109</v>
      </c>
      <c r="AB31" s="157">
        <f t="shared" si="19"/>
        <v>303</v>
      </c>
      <c r="AC31" s="148"/>
      <c r="AD31" s="148"/>
      <c r="AE31" s="148"/>
      <c r="AF31" s="148"/>
      <c r="AG31" s="148"/>
      <c r="AH31" s="157">
        <f t="shared" si="10"/>
        <v>0</v>
      </c>
      <c r="AI31" s="148"/>
      <c r="AJ31" s="148"/>
      <c r="AK31" s="148"/>
      <c r="AL31" s="366">
        <f t="shared" si="11"/>
        <v>0</v>
      </c>
      <c r="AM31" s="510"/>
      <c r="AN31" s="531"/>
      <c r="AO31" s="510"/>
      <c r="AP31" s="531"/>
      <c r="AQ31" s="510"/>
      <c r="AR31" s="531"/>
      <c r="AS31" s="510"/>
      <c r="AT31" s="511"/>
      <c r="AU31" s="873"/>
      <c r="AV31" s="110" t="s">
        <v>98</v>
      </c>
      <c r="AW31" s="24">
        <f t="shared" si="12"/>
        <v>0</v>
      </c>
      <c r="AX31" s="24">
        <f t="shared" si="13"/>
        <v>0</v>
      </c>
      <c r="AY31" s="24">
        <f t="shared" si="14"/>
        <v>0</v>
      </c>
      <c r="AZ31" s="24">
        <f t="shared" si="15"/>
        <v>0</v>
      </c>
      <c r="BA31" s="110"/>
      <c r="BB31" s="25">
        <f>AW31*'School Info'!$C$21/1000</f>
        <v>0</v>
      </c>
      <c r="BC31" s="25">
        <f>(AX31*'School Info'!$C$22/1000)</f>
        <v>0</v>
      </c>
      <c r="BD31" s="25">
        <f>AY31*'School Info'!$E$21/1000</f>
        <v>0</v>
      </c>
      <c r="BE31" s="25">
        <f>(AZ31*'School Info'!$E$22/1000)</f>
        <v>0</v>
      </c>
      <c r="BG31" s="110">
        <f>IF(OR(AH31&gt;0,AL31&gt;0),MAX($BG$28:BG30)+5,0)</f>
        <v>0</v>
      </c>
      <c r="BI31" s="481"/>
      <c r="BJ31" s="481"/>
      <c r="BK31" s="481"/>
      <c r="BL31" s="481"/>
      <c r="BM31" s="481"/>
      <c r="BN31" s="481"/>
      <c r="BO31" s="481"/>
      <c r="BP31" s="481"/>
    </row>
    <row r="32" spans="1:68" ht="23.25" customHeight="1">
      <c r="A32" s="673"/>
      <c r="B32" s="937"/>
      <c r="C32" s="938"/>
      <c r="D32" s="938"/>
      <c r="E32" s="938"/>
      <c r="F32" s="938"/>
      <c r="G32" s="938"/>
      <c r="H32" s="938"/>
      <c r="I32" s="938"/>
      <c r="J32" s="939"/>
      <c r="K32" s="41">
        <f t="shared" si="5"/>
        <v>0</v>
      </c>
      <c r="L32" s="30">
        <f>IF('School Info'!$W$7&gt;25,L31+1,"--")</f>
        <v>26</v>
      </c>
      <c r="M32" s="9">
        <f t="shared" si="17"/>
        <v>45987</v>
      </c>
      <c r="N32" s="8" t="str">
        <f t="shared" si="6"/>
        <v>Wednesday</v>
      </c>
      <c r="O32" s="64" t="str">
        <f t="shared" si="0"/>
        <v>खुला</v>
      </c>
      <c r="P32" s="6" t="str">
        <f t="shared" si="7"/>
        <v>Wednesday</v>
      </c>
      <c r="Q32" s="71" t="str">
        <f t="shared" si="8"/>
        <v>Milk</v>
      </c>
      <c r="R32" s="6" t="str">
        <f t="shared" si="9"/>
        <v>M</v>
      </c>
      <c r="S32" s="141">
        <f>IF('School Info'!$W$7&gt;=$L32,S31,"---")</f>
        <v>53</v>
      </c>
      <c r="T32" s="141">
        <f>IF('School Info'!$W$7&gt;=$L32,T31,"---")</f>
        <v>61</v>
      </c>
      <c r="U32" s="141">
        <f>IF('School Info'!$W$7&gt;=$L32,U31,"---")</f>
        <v>69</v>
      </c>
      <c r="V32" s="141">
        <f>IF('School Info'!$W$7&gt;=$L32,V31,"---")</f>
        <v>77</v>
      </c>
      <c r="W32" s="141">
        <f>IF('School Info'!$W$7&gt;=$L32,W31,"---")</f>
        <v>85</v>
      </c>
      <c r="X32" s="158">
        <f t="shared" si="18"/>
        <v>345</v>
      </c>
      <c r="Y32" s="141">
        <f>IF('School Info'!$W$7&gt;=$L32,Y31,"---")</f>
        <v>93</v>
      </c>
      <c r="Z32" s="141">
        <f>IF('School Info'!$W$7&gt;=$L32,Z31,"---")</f>
        <v>101</v>
      </c>
      <c r="AA32" s="141">
        <f>IF('School Info'!$W$7&gt;=$L32,AA31,"---")</f>
        <v>109</v>
      </c>
      <c r="AB32" s="157">
        <f t="shared" si="19"/>
        <v>303</v>
      </c>
      <c r="AC32" s="148"/>
      <c r="AD32" s="148"/>
      <c r="AE32" s="148"/>
      <c r="AF32" s="148"/>
      <c r="AG32" s="148"/>
      <c r="AH32" s="157">
        <f t="shared" si="10"/>
        <v>0</v>
      </c>
      <c r="AI32" s="148"/>
      <c r="AJ32" s="148"/>
      <c r="AK32" s="148"/>
      <c r="AL32" s="366">
        <f t="shared" si="11"/>
        <v>0</v>
      </c>
      <c r="AM32" s="510"/>
      <c r="AN32" s="531"/>
      <c r="AO32" s="510"/>
      <c r="AP32" s="531"/>
      <c r="AQ32" s="510"/>
      <c r="AR32" s="531"/>
      <c r="AS32" s="510"/>
      <c r="AT32" s="511"/>
      <c r="AU32" s="873"/>
      <c r="AV32" s="110" t="s">
        <v>99</v>
      </c>
      <c r="AW32" s="24">
        <f t="shared" si="12"/>
        <v>0</v>
      </c>
      <c r="AX32" s="24">
        <f t="shared" si="13"/>
        <v>0</v>
      </c>
      <c r="AY32" s="24">
        <f t="shared" si="14"/>
        <v>0</v>
      </c>
      <c r="AZ32" s="24">
        <f t="shared" si="15"/>
        <v>0</v>
      </c>
      <c r="BA32" s="110"/>
      <c r="BB32" s="25">
        <f>AW32*'School Info'!$C$21/1000</f>
        <v>0</v>
      </c>
      <c r="BC32" s="25">
        <f>(AX32*'School Info'!$C$22/1000)</f>
        <v>0</v>
      </c>
      <c r="BD32" s="25">
        <f>AY32*'School Info'!$E$21/1000</f>
        <v>0</v>
      </c>
      <c r="BE32" s="25">
        <f>(AZ32*'School Info'!$E$22/1000)</f>
        <v>0</v>
      </c>
      <c r="BG32" s="110">
        <f>IF(OR(AH32&gt;0,AL32&gt;0),MAX($BG$28:BG31)+5,0)</f>
        <v>0</v>
      </c>
      <c r="BI32" s="481"/>
      <c r="BJ32" s="481"/>
      <c r="BK32" s="481"/>
      <c r="BL32" s="481"/>
      <c r="BM32" s="481"/>
      <c r="BN32" s="481"/>
      <c r="BO32" s="481"/>
      <c r="BP32" s="481"/>
    </row>
    <row r="33" spans="1:68" ht="23.25" customHeight="1">
      <c r="A33" s="673"/>
      <c r="B33" s="937"/>
      <c r="C33" s="938"/>
      <c r="D33" s="938"/>
      <c r="E33" s="938"/>
      <c r="F33" s="938"/>
      <c r="G33" s="938"/>
      <c r="H33" s="938"/>
      <c r="I33" s="938"/>
      <c r="J33" s="939"/>
      <c r="K33" s="41">
        <f t="shared" si="5"/>
        <v>0</v>
      </c>
      <c r="L33" s="30">
        <f>IF('School Info'!$W$7&gt;26,L32+1,"--")</f>
        <v>27</v>
      </c>
      <c r="M33" s="9">
        <f t="shared" si="17"/>
        <v>45988</v>
      </c>
      <c r="N33" s="8" t="str">
        <f t="shared" si="6"/>
        <v>Thursday</v>
      </c>
      <c r="O33" s="64" t="str">
        <f t="shared" si="0"/>
        <v>खुला</v>
      </c>
      <c r="P33" s="6" t="str">
        <f t="shared" si="7"/>
        <v>Thursday</v>
      </c>
      <c r="Q33" s="71" t="str">
        <f t="shared" si="8"/>
        <v>Milk</v>
      </c>
      <c r="R33" s="6" t="str">
        <f t="shared" si="9"/>
        <v>M</v>
      </c>
      <c r="S33" s="141">
        <f>IF('School Info'!$W$7&gt;=$L33,S32,"---")</f>
        <v>53</v>
      </c>
      <c r="T33" s="141">
        <f>IF('School Info'!$W$7&gt;=$L33,T32,"---")</f>
        <v>61</v>
      </c>
      <c r="U33" s="141">
        <f>IF('School Info'!$W$7&gt;=$L33,U32,"---")</f>
        <v>69</v>
      </c>
      <c r="V33" s="141">
        <f>IF('School Info'!$W$7&gt;=$L33,V32,"---")</f>
        <v>77</v>
      </c>
      <c r="W33" s="141">
        <f>IF('School Info'!$W$7&gt;=$L33,W32,"---")</f>
        <v>85</v>
      </c>
      <c r="X33" s="158">
        <f t="shared" si="18"/>
        <v>345</v>
      </c>
      <c r="Y33" s="141">
        <f>IF('School Info'!$W$7&gt;=$L33,Y32,"---")</f>
        <v>93</v>
      </c>
      <c r="Z33" s="141">
        <f>IF('School Info'!$W$7&gt;=$L33,Z32,"---")</f>
        <v>101</v>
      </c>
      <c r="AA33" s="141">
        <f>IF('School Info'!$W$7&gt;=$L33,AA32,"---")</f>
        <v>109</v>
      </c>
      <c r="AB33" s="157">
        <f t="shared" si="19"/>
        <v>303</v>
      </c>
      <c r="AC33" s="148"/>
      <c r="AD33" s="148"/>
      <c r="AE33" s="148"/>
      <c r="AF33" s="148"/>
      <c r="AG33" s="148"/>
      <c r="AH33" s="157">
        <f t="shared" si="10"/>
        <v>0</v>
      </c>
      <c r="AI33" s="148"/>
      <c r="AJ33" s="148"/>
      <c r="AK33" s="148"/>
      <c r="AL33" s="366">
        <f t="shared" si="11"/>
        <v>0</v>
      </c>
      <c r="AM33" s="510"/>
      <c r="AN33" s="531"/>
      <c r="AO33" s="510"/>
      <c r="AP33" s="531"/>
      <c r="AQ33" s="510"/>
      <c r="AR33" s="531"/>
      <c r="AS33" s="510"/>
      <c r="AT33" s="511"/>
      <c r="AU33" s="873"/>
      <c r="AV33" s="110" t="s">
        <v>101</v>
      </c>
      <c r="AW33" s="24">
        <f t="shared" si="12"/>
        <v>0</v>
      </c>
      <c r="AX33" s="24">
        <f t="shared" si="13"/>
        <v>0</v>
      </c>
      <c r="AY33" s="24">
        <f t="shared" si="14"/>
        <v>0</v>
      </c>
      <c r="AZ33" s="24">
        <f t="shared" si="15"/>
        <v>0</v>
      </c>
      <c r="BA33" s="110"/>
      <c r="BB33" s="25">
        <f>AW33*'School Info'!$C$21/1000</f>
        <v>0</v>
      </c>
      <c r="BC33" s="25">
        <f>(AX33*'School Info'!$C$22/1000)</f>
        <v>0</v>
      </c>
      <c r="BD33" s="25">
        <f>AY33*'School Info'!$E$21/1000</f>
        <v>0</v>
      </c>
      <c r="BE33" s="25">
        <f>(AZ33*'School Info'!$E$22/1000)</f>
        <v>0</v>
      </c>
      <c r="BG33" s="110">
        <f>IF(OR(AH33&gt;0,AL33&gt;0),MAX($BG$28:BG32)+5,0)</f>
        <v>0</v>
      </c>
      <c r="BI33" s="481"/>
      <c r="BJ33" s="481"/>
      <c r="BK33" s="481"/>
      <c r="BL33" s="481"/>
      <c r="BM33" s="481"/>
      <c r="BN33" s="481"/>
      <c r="BO33" s="481"/>
      <c r="BP33" s="481"/>
    </row>
    <row r="34" spans="1:68" ht="23.25" customHeight="1">
      <c r="A34" s="673"/>
      <c r="B34" s="937"/>
      <c r="C34" s="938"/>
      <c r="D34" s="938"/>
      <c r="E34" s="938"/>
      <c r="F34" s="938"/>
      <c r="G34" s="938"/>
      <c r="H34" s="938"/>
      <c r="I34" s="938"/>
      <c r="J34" s="939"/>
      <c r="K34" s="41">
        <f t="shared" si="5"/>
        <v>0</v>
      </c>
      <c r="L34" s="30">
        <f>IF('School Info'!$W$7&gt;27,L33+1,"--")</f>
        <v>28</v>
      </c>
      <c r="M34" s="9">
        <f>M33+1</f>
        <v>45989</v>
      </c>
      <c r="N34" s="8" t="str">
        <f t="shared" si="6"/>
        <v>Friday</v>
      </c>
      <c r="O34" s="64" t="str">
        <f t="shared" si="0"/>
        <v>खुला</v>
      </c>
      <c r="P34" s="6" t="str">
        <f t="shared" si="7"/>
        <v>Friday</v>
      </c>
      <c r="Q34" s="71" t="str">
        <f t="shared" si="8"/>
        <v>Milk</v>
      </c>
      <c r="R34" s="6" t="str">
        <f t="shared" si="9"/>
        <v>M</v>
      </c>
      <c r="S34" s="141">
        <f>IF('School Info'!$W$7&gt;=$L34,S33,"---")</f>
        <v>53</v>
      </c>
      <c r="T34" s="141">
        <f>IF('School Info'!$W$7&gt;=$L34,T33,"---")</f>
        <v>61</v>
      </c>
      <c r="U34" s="141">
        <f>IF('School Info'!$W$7&gt;=$L34,U33,"---")</f>
        <v>69</v>
      </c>
      <c r="V34" s="141">
        <f>IF('School Info'!$W$7&gt;=$L34,V33,"---")</f>
        <v>77</v>
      </c>
      <c r="W34" s="141">
        <f>IF('School Info'!$W$7&gt;=$L34,W33,"---")</f>
        <v>85</v>
      </c>
      <c r="X34" s="158">
        <f t="shared" si="18"/>
        <v>345</v>
      </c>
      <c r="Y34" s="141">
        <f>IF('School Info'!$W$7&gt;=$L34,Y33,"---")</f>
        <v>93</v>
      </c>
      <c r="Z34" s="141">
        <f>IF('School Info'!$W$7&gt;=$L34,Z33,"---")</f>
        <v>101</v>
      </c>
      <c r="AA34" s="141">
        <f>IF('School Info'!$W$7&gt;=$L34,AA33,"---")</f>
        <v>109</v>
      </c>
      <c r="AB34" s="157">
        <f t="shared" si="19"/>
        <v>303</v>
      </c>
      <c r="AC34" s="148"/>
      <c r="AD34" s="148"/>
      <c r="AE34" s="148"/>
      <c r="AF34" s="148"/>
      <c r="AG34" s="148"/>
      <c r="AH34" s="157">
        <f t="shared" si="10"/>
        <v>0</v>
      </c>
      <c r="AI34" s="148"/>
      <c r="AJ34" s="148"/>
      <c r="AK34" s="148"/>
      <c r="AL34" s="366">
        <f t="shared" si="11"/>
        <v>0</v>
      </c>
      <c r="AM34" s="510"/>
      <c r="AN34" s="531"/>
      <c r="AO34" s="510"/>
      <c r="AP34" s="531"/>
      <c r="AQ34" s="510"/>
      <c r="AR34" s="531"/>
      <c r="AS34" s="510"/>
      <c r="AT34" s="511"/>
      <c r="AU34" s="873"/>
      <c r="AV34" s="110" t="s">
        <v>102</v>
      </c>
      <c r="AW34" s="24">
        <f t="shared" si="12"/>
        <v>0</v>
      </c>
      <c r="AX34" s="24">
        <f t="shared" si="13"/>
        <v>0</v>
      </c>
      <c r="AY34" s="24">
        <f t="shared" si="14"/>
        <v>0</v>
      </c>
      <c r="AZ34" s="24">
        <f t="shared" si="15"/>
        <v>0</v>
      </c>
      <c r="BA34" s="110"/>
      <c r="BB34" s="25">
        <f>AW34*'School Info'!$C$21/1000</f>
        <v>0</v>
      </c>
      <c r="BC34" s="25">
        <f>(AX34*'School Info'!$C$22/1000)</f>
        <v>0</v>
      </c>
      <c r="BD34" s="25">
        <f>AY34*'School Info'!$E$21/1000</f>
        <v>0</v>
      </c>
      <c r="BE34" s="25">
        <f>(AZ34*'School Info'!$E$22/1000)</f>
        <v>0</v>
      </c>
      <c r="BG34" s="110">
        <f>IF(OR(AH34&gt;0,AL34&gt;0),MAX($BG$28:BG33)+5,0)</f>
        <v>0</v>
      </c>
      <c r="BI34" s="481"/>
      <c r="BJ34" s="481"/>
      <c r="BK34" s="481"/>
      <c r="BL34" s="481"/>
      <c r="BM34" s="481"/>
      <c r="BN34" s="481"/>
      <c r="BO34" s="481"/>
      <c r="BP34" s="481"/>
    </row>
    <row r="35" spans="1:68" ht="23.25" customHeight="1">
      <c r="A35" s="673"/>
      <c r="B35" s="937"/>
      <c r="C35" s="938"/>
      <c r="D35" s="938"/>
      <c r="E35" s="938"/>
      <c r="F35" s="938"/>
      <c r="G35" s="938"/>
      <c r="H35" s="938"/>
      <c r="I35" s="938"/>
      <c r="J35" s="939"/>
      <c r="K35" s="41">
        <f t="shared" si="5"/>
        <v>0</v>
      </c>
      <c r="L35" s="30">
        <f>IF('School Info'!$W$7&gt;28,L34+1,"--")</f>
        <v>29</v>
      </c>
      <c r="M35" s="9">
        <f>IF('School Info'!W7&gt;28,'MIlk-Data Entry'!M34+1,"---")</f>
        <v>45990</v>
      </c>
      <c r="N35" s="8" t="str">
        <f t="shared" si="6"/>
        <v>Saturday</v>
      </c>
      <c r="O35" s="64" t="str">
        <f t="shared" si="0"/>
        <v>खुला</v>
      </c>
      <c r="P35" s="6" t="str">
        <f t="shared" si="7"/>
        <v>Saturday</v>
      </c>
      <c r="Q35" s="71" t="str">
        <f t="shared" si="8"/>
        <v>Milk</v>
      </c>
      <c r="R35" s="6" t="str">
        <f t="shared" si="9"/>
        <v>M</v>
      </c>
      <c r="S35" s="141">
        <f>IF('School Info'!$W$7&gt;=$L35,S34,"---")</f>
        <v>53</v>
      </c>
      <c r="T35" s="141">
        <f>IF('School Info'!$W$7&gt;=$L35,T34,"---")</f>
        <v>61</v>
      </c>
      <c r="U35" s="141">
        <f>IF('School Info'!$W$7&gt;=$L35,U34,"---")</f>
        <v>69</v>
      </c>
      <c r="V35" s="141">
        <f>IF('School Info'!$W$7&gt;=$L35,V34,"---")</f>
        <v>77</v>
      </c>
      <c r="W35" s="141">
        <f>IF('School Info'!$W$7&gt;=$L35,W34,"---")</f>
        <v>85</v>
      </c>
      <c r="X35" s="158">
        <f t="shared" si="18"/>
        <v>345</v>
      </c>
      <c r="Y35" s="141">
        <f>IF('School Info'!$W$7&gt;=$L35,Y34,"---")</f>
        <v>93</v>
      </c>
      <c r="Z35" s="141">
        <f>IF('School Info'!$W$7&gt;=$L35,Z34,"---")</f>
        <v>101</v>
      </c>
      <c r="AA35" s="141">
        <f>IF('School Info'!$W$7&gt;=$L35,AA34,"---")</f>
        <v>109</v>
      </c>
      <c r="AB35" s="157">
        <f t="shared" si="19"/>
        <v>303</v>
      </c>
      <c r="AC35" s="148"/>
      <c r="AD35" s="148"/>
      <c r="AE35" s="148"/>
      <c r="AF35" s="148"/>
      <c r="AG35" s="148"/>
      <c r="AH35" s="157">
        <f t="shared" si="10"/>
        <v>0</v>
      </c>
      <c r="AI35" s="148"/>
      <c r="AJ35" s="148"/>
      <c r="AK35" s="148"/>
      <c r="AL35" s="366">
        <f t="shared" si="11"/>
        <v>0</v>
      </c>
      <c r="AM35" s="510"/>
      <c r="AN35" s="531"/>
      <c r="AO35" s="510"/>
      <c r="AP35" s="531"/>
      <c r="AQ35" s="510"/>
      <c r="AR35" s="531"/>
      <c r="AS35" s="510"/>
      <c r="AT35" s="511"/>
      <c r="AU35" s="873"/>
      <c r="AV35" s="110" t="s">
        <v>105</v>
      </c>
      <c r="AW35" s="24">
        <f t="shared" si="12"/>
        <v>0</v>
      </c>
      <c r="AX35" s="24">
        <f t="shared" si="13"/>
        <v>0</v>
      </c>
      <c r="AY35" s="24">
        <f t="shared" si="14"/>
        <v>0</v>
      </c>
      <c r="AZ35" s="24">
        <f t="shared" si="15"/>
        <v>0</v>
      </c>
      <c r="BA35" s="110"/>
      <c r="BB35" s="25">
        <f>AW35*'School Info'!$C$21/1000</f>
        <v>0</v>
      </c>
      <c r="BC35" s="25">
        <f>(AX35*'School Info'!$C$22/1000)</f>
        <v>0</v>
      </c>
      <c r="BD35" s="25">
        <f>AY35*'School Info'!$E$21/1000</f>
        <v>0</v>
      </c>
      <c r="BE35" s="25">
        <f>(AZ35*'School Info'!$E$22/1000)</f>
        <v>0</v>
      </c>
      <c r="BG35" s="110">
        <f>IF(OR(AH35&gt;0,AL35&gt;0),7,0)</f>
        <v>0</v>
      </c>
      <c r="BI35" s="480">
        <f>SUM(AM35:AM37)</f>
        <v>0</v>
      </c>
      <c r="BJ35" s="480">
        <f t="shared" ref="BJ35:BL35" si="42">SUM(AN35:AN37)</f>
        <v>0</v>
      </c>
      <c r="BK35" s="480">
        <f t="shared" si="42"/>
        <v>0</v>
      </c>
      <c r="BL35" s="480">
        <f t="shared" si="42"/>
        <v>0</v>
      </c>
      <c r="BM35" s="480">
        <f t="shared" ref="BM35" si="43">SUM(AQ35:AQ37)</f>
        <v>0</v>
      </c>
      <c r="BN35" s="480">
        <f t="shared" ref="BN35" si="44">SUM(AR35:AR37)</f>
        <v>0</v>
      </c>
      <c r="BO35" s="480">
        <f t="shared" ref="BO35" si="45">SUM(AS35:AS37)</f>
        <v>0</v>
      </c>
      <c r="BP35" s="480">
        <f t="shared" ref="BP35" si="46">SUM(AT35:AT37)</f>
        <v>0</v>
      </c>
    </row>
    <row r="36" spans="1:68" ht="23.25" customHeight="1">
      <c r="A36" s="673"/>
      <c r="B36" s="937"/>
      <c r="C36" s="938"/>
      <c r="D36" s="938"/>
      <c r="E36" s="938"/>
      <c r="F36" s="938"/>
      <c r="G36" s="938"/>
      <c r="H36" s="938"/>
      <c r="I36" s="938"/>
      <c r="J36" s="939"/>
      <c r="K36" s="41">
        <f t="shared" si="5"/>
        <v>0</v>
      </c>
      <c r="L36" s="30">
        <f>IF('School Info'!$W$7&gt;29,L35+1,"--")</f>
        <v>30</v>
      </c>
      <c r="M36" s="9">
        <f>IF('School Info'!W7&gt;29,'MIlk-Data Entry'!M35+1,"---")</f>
        <v>45991</v>
      </c>
      <c r="N36" s="8" t="str">
        <f t="shared" si="6"/>
        <v>Sunday</v>
      </c>
      <c r="O36" s="64" t="str">
        <f t="shared" si="0"/>
        <v>रवि॰अव॰</v>
      </c>
      <c r="P36" s="6" t="str">
        <f t="shared" si="7"/>
        <v>Holiday</v>
      </c>
      <c r="Q36" s="71" t="str">
        <f t="shared" si="8"/>
        <v>---</v>
      </c>
      <c r="R36" s="6" t="str">
        <f t="shared" si="9"/>
        <v>---</v>
      </c>
      <c r="S36" s="141">
        <f>IF('School Info'!$W$7&gt;=$L36,S35,"---")</f>
        <v>53</v>
      </c>
      <c r="T36" s="141">
        <f>IF('School Info'!$W$7&gt;=$L36,T35,"---")</f>
        <v>61</v>
      </c>
      <c r="U36" s="141">
        <f>IF('School Info'!$W$7&gt;=$L36,U35,"---")</f>
        <v>69</v>
      </c>
      <c r="V36" s="141">
        <f>IF('School Info'!$W$7&gt;=$L36,V35,"---")</f>
        <v>77</v>
      </c>
      <c r="W36" s="141">
        <f>IF('School Info'!$W$7&gt;=$L36,W35,"---")</f>
        <v>85</v>
      </c>
      <c r="X36" s="158">
        <f t="shared" si="18"/>
        <v>345</v>
      </c>
      <c r="Y36" s="141">
        <f>IF('School Info'!$W$7&gt;=$L36,Y35,"---")</f>
        <v>93</v>
      </c>
      <c r="Z36" s="141">
        <f>IF('School Info'!$W$7&gt;=$L36,Z35,"---")</f>
        <v>101</v>
      </c>
      <c r="AA36" s="141">
        <f>IF('School Info'!$W$7&gt;=$L36,AA35,"---")</f>
        <v>109</v>
      </c>
      <c r="AB36" s="157">
        <f t="shared" si="19"/>
        <v>303</v>
      </c>
      <c r="AC36" s="148"/>
      <c r="AD36" s="148"/>
      <c r="AE36" s="148"/>
      <c r="AF36" s="148"/>
      <c r="AG36" s="148"/>
      <c r="AH36" s="157">
        <f t="shared" si="10"/>
        <v>0</v>
      </c>
      <c r="AI36" s="148"/>
      <c r="AJ36" s="148"/>
      <c r="AK36" s="148"/>
      <c r="AL36" s="366">
        <f t="shared" si="11"/>
        <v>0</v>
      </c>
      <c r="AM36" s="510"/>
      <c r="AN36" s="531"/>
      <c r="AO36" s="510"/>
      <c r="AP36" s="531"/>
      <c r="AQ36" s="510"/>
      <c r="AR36" s="531"/>
      <c r="AS36" s="510"/>
      <c r="AT36" s="511"/>
      <c r="AU36" s="873"/>
      <c r="AV36" s="110"/>
      <c r="AW36" s="24">
        <f t="shared" si="12"/>
        <v>0</v>
      </c>
      <c r="AX36" s="24">
        <f t="shared" si="13"/>
        <v>0</v>
      </c>
      <c r="AY36" s="24">
        <f t="shared" si="14"/>
        <v>0</v>
      </c>
      <c r="AZ36" s="24">
        <f t="shared" si="15"/>
        <v>0</v>
      </c>
      <c r="BA36" s="110"/>
      <c r="BB36" s="25">
        <f>AW36*'School Info'!$C$21/1000</f>
        <v>0</v>
      </c>
      <c r="BC36" s="25">
        <f>(AX36*'School Info'!$C$22/1000)</f>
        <v>0</v>
      </c>
      <c r="BD36" s="25">
        <f>AY36*'School Info'!$E$21/1000</f>
        <v>0</v>
      </c>
      <c r="BE36" s="25">
        <f>(AZ36*'School Info'!$E$22/1000)</f>
        <v>0</v>
      </c>
      <c r="BG36" s="110">
        <f>IF(OR(AH36&gt;0,AL36&gt;0),MAX(BG35)+7,0)</f>
        <v>0</v>
      </c>
      <c r="BI36" s="481"/>
      <c r="BJ36" s="481"/>
      <c r="BK36" s="481"/>
      <c r="BL36" s="481"/>
      <c r="BM36" s="481"/>
      <c r="BN36" s="481"/>
      <c r="BO36" s="481"/>
      <c r="BP36" s="481"/>
    </row>
    <row r="37" spans="1:68" ht="23.25" customHeight="1" thickBot="1">
      <c r="A37" s="673"/>
      <c r="B37" s="937"/>
      <c r="C37" s="938"/>
      <c r="D37" s="938"/>
      <c r="E37" s="938"/>
      <c r="F37" s="938"/>
      <c r="G37" s="938"/>
      <c r="H37" s="938"/>
      <c r="I37" s="938"/>
      <c r="J37" s="939"/>
      <c r="K37" s="41">
        <f t="shared" si="5"/>
        <v>0</v>
      </c>
      <c r="L37" s="86" t="str">
        <f>IF('School Info'!$W$7&gt;30,L36+1,"--")</f>
        <v>--</v>
      </c>
      <c r="M37" s="87" t="str">
        <f>IF('School Info'!W7&gt;30,'MIlk-Data Entry'!M36+1,"---")</f>
        <v>---</v>
      </c>
      <c r="N37" s="88" t="str">
        <f t="shared" si="6"/>
        <v>---</v>
      </c>
      <c r="O37" s="64" t="str">
        <f t="shared" si="0"/>
        <v>---</v>
      </c>
      <c r="P37" s="143" t="str">
        <f t="shared" si="7"/>
        <v>---</v>
      </c>
      <c r="Q37" s="71" t="str">
        <f t="shared" si="8"/>
        <v>---</v>
      </c>
      <c r="R37" s="6" t="str">
        <f t="shared" si="9"/>
        <v>---</v>
      </c>
      <c r="S37" s="159" t="str">
        <f>IF('School Info'!$W$7&gt;=$L37,S36,"---")</f>
        <v>---</v>
      </c>
      <c r="T37" s="159" t="str">
        <f>IF('School Info'!$W$7&gt;=$L37,T36,"---")</f>
        <v>---</v>
      </c>
      <c r="U37" s="159" t="str">
        <f>IF('School Info'!$W$7&gt;=$L37,U36,"---")</f>
        <v>---</v>
      </c>
      <c r="V37" s="159" t="str">
        <f>IF('School Info'!$W$7&gt;=$L37,V36,"---")</f>
        <v>---</v>
      </c>
      <c r="W37" s="159" t="str">
        <f>IF('School Info'!$W$7&gt;=$L37,W36,"---")</f>
        <v>---</v>
      </c>
      <c r="X37" s="160">
        <f t="shared" si="18"/>
        <v>0</v>
      </c>
      <c r="Y37" s="159" t="str">
        <f>IF('School Info'!$W$7&gt;=$L37,Y36,"---")</f>
        <v>---</v>
      </c>
      <c r="Z37" s="159" t="str">
        <f>IF('School Info'!$W$7&gt;=$L37,Z36,"---")</f>
        <v>---</v>
      </c>
      <c r="AA37" s="159" t="str">
        <f>IF('School Info'!$W$7&gt;=$L37,AA36,"---")</f>
        <v>---</v>
      </c>
      <c r="AB37" s="161">
        <f t="shared" si="19"/>
        <v>0</v>
      </c>
      <c r="AC37" s="162"/>
      <c r="AD37" s="162"/>
      <c r="AE37" s="162"/>
      <c r="AF37" s="162"/>
      <c r="AG37" s="162"/>
      <c r="AH37" s="157">
        <f t="shared" si="10"/>
        <v>0</v>
      </c>
      <c r="AI37" s="162"/>
      <c r="AJ37" s="162"/>
      <c r="AK37" s="162"/>
      <c r="AL37" s="366">
        <f t="shared" si="11"/>
        <v>0</v>
      </c>
      <c r="AM37" s="532"/>
      <c r="AN37" s="533"/>
      <c r="AO37" s="510"/>
      <c r="AP37" s="531"/>
      <c r="AQ37" s="510"/>
      <c r="AR37" s="531"/>
      <c r="AS37" s="510"/>
      <c r="AT37" s="511"/>
      <c r="AU37" s="873"/>
      <c r="AV37" s="110"/>
      <c r="AW37" s="24">
        <f t="shared" si="12"/>
        <v>0</v>
      </c>
      <c r="AX37" s="24">
        <f t="shared" si="13"/>
        <v>0</v>
      </c>
      <c r="AY37" s="24">
        <f t="shared" si="14"/>
        <v>0</v>
      </c>
      <c r="AZ37" s="24">
        <f t="shared" si="15"/>
        <v>0</v>
      </c>
      <c r="BA37" s="110"/>
      <c r="BB37" s="25">
        <f>AW37*'School Info'!$C$21/1000</f>
        <v>0</v>
      </c>
      <c r="BC37" s="25">
        <f>(AX37*'School Info'!$C$22/1000)</f>
        <v>0</v>
      </c>
      <c r="BD37" s="25">
        <f>AY37*'School Info'!$E$21/1000</f>
        <v>0</v>
      </c>
      <c r="BE37" s="25">
        <f>(AZ37*'School Info'!$E$22/1000)</f>
        <v>0</v>
      </c>
      <c r="BG37" s="110">
        <f>IF(OR(AH37&gt;0,AL37&gt;0),MAX($BG$35:BG36)+7,0)</f>
        <v>0</v>
      </c>
      <c r="BI37" s="481"/>
      <c r="BJ37" s="481"/>
      <c r="BK37" s="481"/>
      <c r="BL37" s="481"/>
      <c r="BM37" s="481"/>
      <c r="BN37" s="481"/>
      <c r="BO37" s="481"/>
      <c r="BP37" s="481"/>
    </row>
    <row r="38" spans="1:68" ht="27" customHeight="1" thickBot="1">
      <c r="A38" s="673"/>
      <c r="B38" s="940"/>
      <c r="C38" s="941"/>
      <c r="D38" s="941"/>
      <c r="E38" s="941"/>
      <c r="F38" s="941"/>
      <c r="G38" s="941"/>
      <c r="H38" s="941"/>
      <c r="I38" s="941"/>
      <c r="J38" s="942"/>
      <c r="K38" s="62">
        <f>SUM(K7:K37)</f>
        <v>1</v>
      </c>
      <c r="L38" s="850" t="s">
        <v>56</v>
      </c>
      <c r="M38" s="851"/>
      <c r="N38" s="851"/>
      <c r="O38" s="851"/>
      <c r="P38" s="851"/>
      <c r="Q38" s="851"/>
      <c r="R38" s="950"/>
      <c r="S38" s="115">
        <f>SUM(S7:S37)</f>
        <v>1590</v>
      </c>
      <c r="T38" s="115">
        <f t="shared" ref="T38:AK38" si="47">SUM(T7:T37)</f>
        <v>1830</v>
      </c>
      <c r="U38" s="115">
        <f t="shared" si="47"/>
        <v>2070</v>
      </c>
      <c r="V38" s="115">
        <f t="shared" si="47"/>
        <v>2310</v>
      </c>
      <c r="W38" s="115">
        <f t="shared" si="47"/>
        <v>2550</v>
      </c>
      <c r="X38" s="115">
        <f t="shared" si="47"/>
        <v>10350</v>
      </c>
      <c r="Y38" s="115">
        <f t="shared" si="47"/>
        <v>2790</v>
      </c>
      <c r="Z38" s="115">
        <f t="shared" si="47"/>
        <v>3030</v>
      </c>
      <c r="AA38" s="115">
        <f t="shared" si="47"/>
        <v>3270</v>
      </c>
      <c r="AB38" s="115">
        <f t="shared" si="47"/>
        <v>9090</v>
      </c>
      <c r="AC38" s="85">
        <f t="shared" si="47"/>
        <v>10</v>
      </c>
      <c r="AD38" s="85">
        <f t="shared" si="47"/>
        <v>7</v>
      </c>
      <c r="AE38" s="85">
        <f t="shared" si="47"/>
        <v>2</v>
      </c>
      <c r="AF38" s="85">
        <f t="shared" si="47"/>
        <v>3</v>
      </c>
      <c r="AG38" s="85">
        <f t="shared" si="47"/>
        <v>8</v>
      </c>
      <c r="AH38" s="85">
        <f t="shared" si="47"/>
        <v>30</v>
      </c>
      <c r="AI38" s="85">
        <f t="shared" si="47"/>
        <v>5</v>
      </c>
      <c r="AJ38" s="85">
        <f t="shared" si="47"/>
        <v>7</v>
      </c>
      <c r="AK38" s="85">
        <f t="shared" si="47"/>
        <v>0</v>
      </c>
      <c r="AL38" s="85">
        <f>SUM(AL7:AL37)</f>
        <v>12</v>
      </c>
      <c r="AM38" s="534">
        <f t="shared" ref="AM38:AT38" si="48">SUM(AM7:AM37)</f>
        <v>0</v>
      </c>
      <c r="AN38" s="514">
        <f t="shared" si="48"/>
        <v>0</v>
      </c>
      <c r="AO38" s="535">
        <f t="shared" si="48"/>
        <v>0</v>
      </c>
      <c r="AP38" s="536">
        <f t="shared" si="48"/>
        <v>0</v>
      </c>
      <c r="AQ38" s="535">
        <f t="shared" si="48"/>
        <v>0</v>
      </c>
      <c r="AR38" s="536">
        <f t="shared" si="48"/>
        <v>0</v>
      </c>
      <c r="AS38" s="535">
        <f t="shared" si="48"/>
        <v>0</v>
      </c>
      <c r="AT38" s="537">
        <f t="shared" si="48"/>
        <v>0</v>
      </c>
      <c r="AU38" s="873"/>
      <c r="AV38" s="24" t="s">
        <v>56</v>
      </c>
      <c r="AW38" s="26">
        <f t="shared" ref="AW38:AZ38" si="49">SUM(AW7:AW37)</f>
        <v>30</v>
      </c>
      <c r="AX38" s="26">
        <f t="shared" si="49"/>
        <v>30</v>
      </c>
      <c r="AY38" s="26">
        <f t="shared" si="49"/>
        <v>12</v>
      </c>
      <c r="AZ38" s="26">
        <f t="shared" si="49"/>
        <v>12</v>
      </c>
      <c r="BA38" s="5" t="s">
        <v>56</v>
      </c>
      <c r="BB38" s="26">
        <f>SUM(BB7:BB37)</f>
        <v>0.45</v>
      </c>
      <c r="BC38" s="26">
        <f t="shared" ref="BC38:BE38" si="50">SUM(BC7:BC37)</f>
        <v>0.252</v>
      </c>
      <c r="BD38" s="26">
        <f t="shared" si="50"/>
        <v>0.24</v>
      </c>
      <c r="BE38" s="26">
        <f t="shared" si="50"/>
        <v>0.12239999999999999</v>
      </c>
    </row>
    <row r="39" spans="1:68" ht="9.75" customHeight="1">
      <c r="A39" s="673"/>
      <c r="B39" s="673"/>
      <c r="C39" s="673"/>
      <c r="D39" s="673"/>
      <c r="E39" s="673"/>
      <c r="F39" s="673"/>
      <c r="G39" s="673"/>
      <c r="H39" s="673"/>
      <c r="I39" s="673"/>
      <c r="J39" s="673"/>
      <c r="K39" s="673"/>
      <c r="L39" s="673"/>
      <c r="M39" s="673"/>
      <c r="N39" s="673"/>
      <c r="O39" s="673"/>
      <c r="P39" s="673"/>
      <c r="Q39" s="673"/>
      <c r="R39" s="673"/>
      <c r="S39" s="673"/>
      <c r="T39" s="673"/>
      <c r="U39" s="673"/>
      <c r="V39" s="673"/>
      <c r="W39" s="673"/>
      <c r="X39" s="673"/>
      <c r="Y39" s="673"/>
      <c r="Z39" s="673"/>
      <c r="AA39" s="673"/>
      <c r="AB39" s="673"/>
      <c r="AC39" s="673"/>
      <c r="AD39" s="673"/>
      <c r="AE39" s="673"/>
      <c r="AF39" s="673"/>
      <c r="AG39" s="673"/>
      <c r="AH39" s="673"/>
      <c r="AI39" s="673"/>
      <c r="AJ39" s="673"/>
      <c r="AK39" s="673"/>
      <c r="AL39" s="673"/>
      <c r="AM39" s="673"/>
      <c r="AN39" s="673"/>
      <c r="AO39" s="673"/>
      <c r="AP39" s="673"/>
      <c r="AQ39" s="673"/>
      <c r="AR39" s="673"/>
      <c r="AS39" s="673"/>
      <c r="AT39" s="673"/>
      <c r="AU39" s="673"/>
      <c r="AV39" s="14"/>
      <c r="AW39" s="14"/>
      <c r="AX39" s="14"/>
      <c r="AY39" s="14"/>
      <c r="AZ39" s="14"/>
      <c r="BA39" s="14"/>
    </row>
    <row r="40" spans="1:68" ht="23.25" hidden="1" customHeight="1">
      <c r="AV40" s="110"/>
      <c r="BA40" s="110"/>
    </row>
    <row r="41" spans="1:68" ht="18" hidden="1" customHeight="1">
      <c r="AV41" s="110"/>
      <c r="BA41" s="110"/>
    </row>
    <row r="42" spans="1:68" ht="18" hidden="1" customHeight="1">
      <c r="AV42" s="110"/>
      <c r="BA42" s="110"/>
    </row>
    <row r="43" spans="1:68" ht="18" hidden="1" customHeight="1">
      <c r="AV43" s="110"/>
      <c r="BA43" s="110"/>
    </row>
    <row r="44" spans="1:68" ht="18" hidden="1" customHeight="1">
      <c r="AV44" s="110">
        <v>0</v>
      </c>
      <c r="BA44" s="110"/>
    </row>
    <row r="45" spans="1:68" ht="18" hidden="1" customHeight="1">
      <c r="AV45" s="110">
        <v>1</v>
      </c>
      <c r="BA45" s="110"/>
    </row>
    <row r="46" spans="1:68" ht="18" hidden="1" customHeight="1">
      <c r="AV46" s="110">
        <v>2</v>
      </c>
      <c r="BA46" s="110"/>
    </row>
    <row r="47" spans="1:68" ht="18" hidden="1" customHeight="1">
      <c r="AV47" s="110">
        <v>3</v>
      </c>
      <c r="BA47" s="110"/>
    </row>
    <row r="48" spans="1:68" ht="18" hidden="1" customHeight="1">
      <c r="AV48" s="110">
        <v>4</v>
      </c>
      <c r="BA48" s="110"/>
    </row>
    <row r="49" spans="39:59" ht="18" hidden="1" customHeight="1">
      <c r="AV49" s="110">
        <v>5</v>
      </c>
      <c r="BA49" s="110"/>
    </row>
    <row r="50" spans="39:59" ht="18" hidden="1" customHeight="1">
      <c r="AV50" s="110">
        <v>6</v>
      </c>
      <c r="BA50" s="110"/>
    </row>
    <row r="51" spans="39:59" ht="18" hidden="1" customHeight="1">
      <c r="AV51" s="110">
        <v>7</v>
      </c>
      <c r="BA51" s="110"/>
    </row>
    <row r="52" spans="39:59" ht="12.75" hidden="1" customHeight="1">
      <c r="AV52" s="110">
        <v>8</v>
      </c>
      <c r="BA52" s="110"/>
    </row>
    <row r="53" spans="39:59" ht="12.75" hidden="1" customHeight="1">
      <c r="AV53" s="110">
        <v>9</v>
      </c>
      <c r="BA53" s="110"/>
    </row>
    <row r="54" spans="39:59" ht="12.75" hidden="1" customHeight="1">
      <c r="AV54" s="110">
        <v>10</v>
      </c>
      <c r="BA54" s="110"/>
    </row>
    <row r="55" spans="39:59" ht="12.75" hidden="1" customHeight="1">
      <c r="AV55" s="110">
        <v>11</v>
      </c>
      <c r="BA55" s="110"/>
    </row>
    <row r="56" spans="39:59" ht="12.75" hidden="1" customHeight="1">
      <c r="AV56" s="110">
        <v>12</v>
      </c>
      <c r="BA56" s="110"/>
    </row>
    <row r="57" spans="39:59" ht="12.75" hidden="1" customHeight="1">
      <c r="AV57" s="110">
        <v>13</v>
      </c>
      <c r="BA57" s="110"/>
    </row>
    <row r="58" spans="39:59" ht="26.25" hidden="1" customHeight="1">
      <c r="AV58" s="110">
        <v>14</v>
      </c>
      <c r="BA58" s="110"/>
    </row>
    <row r="59" spans="39:59" ht="39" hidden="1" customHeight="1">
      <c r="AV59" s="110">
        <v>15</v>
      </c>
      <c r="BA59" s="110"/>
    </row>
    <row r="60" spans="39:59" ht="384" hidden="1" customHeight="1">
      <c r="AV60" s="110">
        <v>16</v>
      </c>
      <c r="BA60" s="110"/>
    </row>
    <row r="61" spans="39:59" ht="15.75" hidden="1">
      <c r="AV61" s="110">
        <v>17</v>
      </c>
      <c r="BA61" s="110"/>
    </row>
    <row r="62" spans="39:59" s="14" customFormat="1" ht="15" hidden="1" customHeight="1">
      <c r="AM62" s="74"/>
      <c r="AN62" s="74"/>
      <c r="AO62" s="74"/>
      <c r="AP62" s="74"/>
      <c r="AQ62" s="74"/>
      <c r="AV62" s="108">
        <v>18</v>
      </c>
      <c r="BA62" s="108"/>
      <c r="BG62" s="22"/>
    </row>
    <row r="63" spans="39:59" ht="18" hidden="1" customHeight="1">
      <c r="AV63" s="110">
        <v>19</v>
      </c>
      <c r="BA63" s="110"/>
    </row>
    <row r="64" spans="39:59" ht="15" hidden="1" customHeight="1">
      <c r="AV64" s="110">
        <v>20</v>
      </c>
      <c r="BA64" s="110"/>
    </row>
    <row r="65" spans="48:53" ht="15" hidden="1" customHeight="1">
      <c r="AV65" s="110">
        <v>21</v>
      </c>
      <c r="BA65" s="110"/>
    </row>
    <row r="66" spans="48:53" ht="15" hidden="1" customHeight="1">
      <c r="AV66" s="110">
        <v>22</v>
      </c>
      <c r="BA66" s="110"/>
    </row>
    <row r="67" spans="48:53" ht="15" hidden="1" customHeight="1">
      <c r="AV67" s="110">
        <v>23</v>
      </c>
      <c r="BA67" s="110"/>
    </row>
    <row r="68" spans="48:53" ht="15" hidden="1" customHeight="1">
      <c r="AV68" s="110">
        <v>24</v>
      </c>
      <c r="BA68" s="110"/>
    </row>
    <row r="69" spans="48:53" ht="15" hidden="1" customHeight="1">
      <c r="AV69" s="110">
        <v>25</v>
      </c>
      <c r="BA69" s="110"/>
    </row>
    <row r="70" spans="48:53" ht="15" hidden="1" customHeight="1">
      <c r="AV70" s="110">
        <v>26</v>
      </c>
      <c r="BA70" s="110"/>
    </row>
    <row r="71" spans="48:53" ht="15.75" hidden="1" customHeight="1">
      <c r="AV71" s="110">
        <v>27</v>
      </c>
      <c r="BA71" s="110"/>
    </row>
    <row r="72" spans="48:53" ht="19.5" hidden="1" customHeight="1">
      <c r="AV72" s="110">
        <v>28</v>
      </c>
      <c r="BA72" s="110"/>
    </row>
    <row r="73" spans="48:53" ht="19.5" hidden="1" customHeight="1">
      <c r="AV73" s="110">
        <v>29</v>
      </c>
      <c r="BA73" s="110"/>
    </row>
    <row r="74" spans="48:53" ht="22.5" hidden="1" customHeight="1">
      <c r="AV74" s="110">
        <v>30</v>
      </c>
      <c r="BA74" s="110"/>
    </row>
    <row r="75" spans="48:53" ht="22.5" hidden="1" customHeight="1">
      <c r="AV75" s="110">
        <v>31</v>
      </c>
      <c r="BA75" s="110"/>
    </row>
    <row r="76" spans="48:53" ht="22.5" hidden="1" customHeight="1">
      <c r="AV76" s="110">
        <v>32</v>
      </c>
      <c r="BA76" s="110"/>
    </row>
    <row r="77" spans="48:53" ht="22.5" hidden="1" customHeight="1">
      <c r="AV77" s="110">
        <v>33</v>
      </c>
      <c r="BA77" s="110"/>
    </row>
    <row r="78" spans="48:53" ht="22.5" hidden="1" customHeight="1">
      <c r="AV78" s="110">
        <v>34</v>
      </c>
      <c r="BA78" s="110"/>
    </row>
    <row r="79" spans="48:53" ht="22.5" hidden="1" customHeight="1">
      <c r="AV79" s="110">
        <v>35</v>
      </c>
      <c r="BA79" s="110"/>
    </row>
    <row r="80" spans="48:53" ht="22.5" hidden="1" customHeight="1">
      <c r="AV80" s="110">
        <v>36</v>
      </c>
      <c r="BA80" s="110"/>
    </row>
    <row r="81" spans="48:53" ht="22.5" hidden="1" customHeight="1">
      <c r="AV81" s="110">
        <v>37</v>
      </c>
      <c r="BA81" s="110"/>
    </row>
    <row r="82" spans="48:53" ht="22.5" hidden="1" customHeight="1">
      <c r="AV82" s="110">
        <v>38</v>
      </c>
      <c r="BA82" s="110"/>
    </row>
    <row r="83" spans="48:53" ht="22.5" hidden="1" customHeight="1">
      <c r="AV83" s="110">
        <v>39</v>
      </c>
      <c r="BA83" s="110"/>
    </row>
    <row r="84" spans="48:53" ht="22.5" hidden="1" customHeight="1">
      <c r="AV84" s="110">
        <v>40</v>
      </c>
      <c r="BA84" s="110"/>
    </row>
    <row r="85" spans="48:53" ht="22.5" hidden="1" customHeight="1">
      <c r="AV85" s="110">
        <v>41</v>
      </c>
      <c r="BA85" s="110"/>
    </row>
    <row r="86" spans="48:53" ht="22.5" hidden="1" customHeight="1">
      <c r="AV86" s="110">
        <v>42</v>
      </c>
      <c r="BA86" s="110"/>
    </row>
    <row r="87" spans="48:53" ht="22.5" hidden="1" customHeight="1">
      <c r="AV87" s="110">
        <v>43</v>
      </c>
      <c r="BA87" s="110"/>
    </row>
    <row r="88" spans="48:53" ht="22.5" hidden="1" customHeight="1">
      <c r="AV88" s="110">
        <v>44</v>
      </c>
      <c r="BA88" s="110"/>
    </row>
    <row r="89" spans="48:53" ht="22.5" hidden="1" customHeight="1">
      <c r="AV89" s="110">
        <v>45</v>
      </c>
      <c r="BA89" s="110"/>
    </row>
    <row r="90" spans="48:53" ht="22.5" hidden="1" customHeight="1">
      <c r="AV90" s="110">
        <v>46</v>
      </c>
      <c r="BA90" s="110"/>
    </row>
    <row r="91" spans="48:53" ht="22.5" hidden="1" customHeight="1">
      <c r="AV91" s="110">
        <v>47</v>
      </c>
      <c r="BA91" s="110"/>
    </row>
    <row r="92" spans="48:53" ht="22.5" hidden="1" customHeight="1">
      <c r="AV92" s="110">
        <v>48</v>
      </c>
      <c r="BA92" s="110"/>
    </row>
    <row r="93" spans="48:53" ht="22.5" hidden="1" customHeight="1">
      <c r="AV93" s="110">
        <v>49</v>
      </c>
      <c r="BA93" s="110"/>
    </row>
    <row r="94" spans="48:53" ht="22.5" hidden="1" customHeight="1">
      <c r="AV94" s="110">
        <v>50</v>
      </c>
      <c r="BA94" s="110"/>
    </row>
    <row r="95" spans="48:53" ht="22.5" hidden="1" customHeight="1">
      <c r="AV95" s="110">
        <v>51</v>
      </c>
      <c r="BA95" s="110"/>
    </row>
    <row r="96" spans="48:53" ht="22.5" hidden="1" customHeight="1">
      <c r="AV96" s="110">
        <v>52</v>
      </c>
      <c r="BA96" s="110"/>
    </row>
    <row r="97" spans="48:53" ht="22.5" hidden="1" customHeight="1">
      <c r="AV97" s="110">
        <v>53</v>
      </c>
      <c r="BA97" s="110"/>
    </row>
    <row r="98" spans="48:53" ht="22.5" hidden="1" customHeight="1">
      <c r="AV98" s="110">
        <v>54</v>
      </c>
      <c r="BA98" s="110"/>
    </row>
    <row r="99" spans="48:53" ht="22.5" hidden="1" customHeight="1">
      <c r="AV99" s="110">
        <v>55</v>
      </c>
      <c r="BA99" s="110"/>
    </row>
    <row r="100" spans="48:53" ht="22.5" hidden="1" customHeight="1">
      <c r="AV100" s="110">
        <v>56</v>
      </c>
      <c r="BA100" s="110"/>
    </row>
    <row r="101" spans="48:53" ht="22.5" hidden="1" customHeight="1">
      <c r="AV101" s="110">
        <v>57</v>
      </c>
      <c r="BA101" s="110"/>
    </row>
    <row r="102" spans="48:53" ht="22.5" hidden="1" customHeight="1">
      <c r="AV102" s="110">
        <v>58</v>
      </c>
      <c r="BA102" s="110"/>
    </row>
    <row r="103" spans="48:53" ht="22.5" hidden="1" customHeight="1">
      <c r="AV103" s="110">
        <v>59</v>
      </c>
      <c r="BA103" s="110"/>
    </row>
    <row r="104" spans="48:53" ht="22.5" hidden="1" customHeight="1">
      <c r="AV104" s="110">
        <v>60</v>
      </c>
      <c r="BA104" s="110"/>
    </row>
    <row r="105" spans="48:53" ht="23.25" hidden="1" customHeight="1">
      <c r="AV105" s="110">
        <v>61</v>
      </c>
      <c r="BA105" s="110"/>
    </row>
    <row r="106" spans="48:53" ht="45.75" hidden="1" customHeight="1">
      <c r="AV106" s="110">
        <v>62</v>
      </c>
      <c r="BA106" s="110"/>
    </row>
    <row r="107" spans="48:53" ht="15.75" hidden="1">
      <c r="AV107" s="110">
        <v>63</v>
      </c>
      <c r="BA107" s="110"/>
    </row>
    <row r="108" spans="48:53" ht="15.75" hidden="1">
      <c r="AV108" s="110">
        <v>64</v>
      </c>
      <c r="BA108" s="110"/>
    </row>
    <row r="109" spans="48:53" ht="15.75" hidden="1">
      <c r="AV109" s="110">
        <v>65</v>
      </c>
      <c r="BA109" s="110"/>
    </row>
    <row r="110" spans="48:53" ht="15.75" hidden="1">
      <c r="AV110" s="110">
        <v>66</v>
      </c>
      <c r="BA110" s="110"/>
    </row>
    <row r="111" spans="48:53" ht="15.75" hidden="1">
      <c r="AV111" s="110">
        <v>67</v>
      </c>
      <c r="BA111" s="110"/>
    </row>
    <row r="112" spans="48:53" ht="15.75" hidden="1">
      <c r="AV112" s="110">
        <v>68</v>
      </c>
      <c r="BA112" s="110"/>
    </row>
    <row r="113" spans="48:53" ht="15.75" hidden="1">
      <c r="AV113" s="110">
        <v>69</v>
      </c>
      <c r="BA113" s="110"/>
    </row>
    <row r="114" spans="48:53" ht="15.75" hidden="1">
      <c r="AV114" s="110">
        <v>70</v>
      </c>
      <c r="BA114" s="110"/>
    </row>
    <row r="115" spans="48:53" ht="15.75" hidden="1">
      <c r="AV115" s="110">
        <v>71</v>
      </c>
      <c r="BA115" s="110"/>
    </row>
    <row r="116" spans="48:53" ht="15.75" hidden="1">
      <c r="AV116" s="110">
        <v>72</v>
      </c>
      <c r="BA116" s="110"/>
    </row>
    <row r="117" spans="48:53" ht="15.75" hidden="1">
      <c r="AV117" s="110">
        <v>73</v>
      </c>
      <c r="BA117" s="110"/>
    </row>
    <row r="118" spans="48:53" ht="15.75" hidden="1">
      <c r="AV118" s="110">
        <v>74</v>
      </c>
      <c r="BA118" s="110"/>
    </row>
    <row r="119" spans="48:53" ht="15.75" hidden="1">
      <c r="AV119" s="110">
        <v>75</v>
      </c>
      <c r="BA119" s="110"/>
    </row>
    <row r="120" spans="48:53" ht="15.75" hidden="1">
      <c r="AV120" s="110">
        <v>76</v>
      </c>
      <c r="BA120" s="110"/>
    </row>
    <row r="121" spans="48:53" ht="15.75" hidden="1">
      <c r="AV121" s="110">
        <v>77</v>
      </c>
      <c r="BA121" s="110"/>
    </row>
    <row r="122" spans="48:53" ht="15.75" hidden="1">
      <c r="AV122" s="110">
        <v>78</v>
      </c>
      <c r="BA122" s="110"/>
    </row>
    <row r="123" spans="48:53" ht="15.75" hidden="1">
      <c r="AV123" s="110">
        <v>79</v>
      </c>
      <c r="BA123" s="110"/>
    </row>
    <row r="124" spans="48:53" ht="15.75" hidden="1">
      <c r="AV124" s="110">
        <v>80</v>
      </c>
      <c r="BA124" s="110"/>
    </row>
    <row r="125" spans="48:53" ht="15.75" hidden="1">
      <c r="AV125" s="110">
        <v>81</v>
      </c>
      <c r="BA125" s="110"/>
    </row>
    <row r="126" spans="48:53" ht="15.75" hidden="1">
      <c r="AV126" s="110">
        <v>82</v>
      </c>
      <c r="BA126" s="110"/>
    </row>
    <row r="127" spans="48:53" ht="15.75" hidden="1">
      <c r="AV127" s="110">
        <v>83</v>
      </c>
      <c r="BA127" s="110"/>
    </row>
    <row r="128" spans="48:53" ht="15.75" hidden="1">
      <c r="AV128" s="110">
        <v>84</v>
      </c>
      <c r="BA128" s="110"/>
    </row>
    <row r="129" spans="48:53" ht="15.75" hidden="1">
      <c r="AV129" s="110">
        <v>85</v>
      </c>
      <c r="BA129" s="110"/>
    </row>
    <row r="130" spans="48:53" ht="15.75" hidden="1">
      <c r="AV130" s="110">
        <v>86</v>
      </c>
      <c r="BA130" s="110"/>
    </row>
    <row r="131" spans="48:53" ht="15.75" hidden="1">
      <c r="AV131" s="110">
        <v>87</v>
      </c>
      <c r="BA131" s="110"/>
    </row>
    <row r="132" spans="48:53" ht="15.75" hidden="1">
      <c r="AV132" s="110">
        <v>88</v>
      </c>
      <c r="BA132" s="110"/>
    </row>
    <row r="133" spans="48:53" ht="15.75" hidden="1">
      <c r="AV133" s="110">
        <v>89</v>
      </c>
      <c r="BA133" s="110"/>
    </row>
    <row r="134" spans="48:53" ht="15.75" hidden="1">
      <c r="AV134" s="110">
        <v>90</v>
      </c>
      <c r="BA134" s="110"/>
    </row>
    <row r="135" spans="48:53" ht="15.75" hidden="1">
      <c r="AV135" s="110">
        <v>91</v>
      </c>
      <c r="BA135" s="110"/>
    </row>
    <row r="136" spans="48:53" ht="15.75" hidden="1">
      <c r="AV136" s="110">
        <v>92</v>
      </c>
      <c r="BA136" s="110"/>
    </row>
    <row r="137" spans="48:53" ht="15.75" hidden="1">
      <c r="AV137" s="110">
        <v>93</v>
      </c>
      <c r="BA137" s="110"/>
    </row>
    <row r="138" spans="48:53" ht="15.75" hidden="1">
      <c r="AV138" s="110">
        <v>94</v>
      </c>
      <c r="BA138" s="110"/>
    </row>
    <row r="139" spans="48:53" ht="15.75" hidden="1">
      <c r="AV139" s="110">
        <v>95</v>
      </c>
      <c r="BA139" s="110"/>
    </row>
    <row r="140" spans="48:53" ht="15.75" hidden="1">
      <c r="AV140" s="110">
        <v>96</v>
      </c>
      <c r="BA140" s="110"/>
    </row>
    <row r="141" spans="48:53" ht="15.75" hidden="1">
      <c r="AV141" s="110">
        <v>97</v>
      </c>
      <c r="BA141" s="110"/>
    </row>
    <row r="142" spans="48:53" ht="15.75" hidden="1">
      <c r="AV142" s="110">
        <v>98</v>
      </c>
      <c r="BA142" s="110"/>
    </row>
    <row r="143" spans="48:53" ht="15.75" hidden="1">
      <c r="AV143" s="110">
        <v>99</v>
      </c>
      <c r="BA143" s="110"/>
    </row>
    <row r="144" spans="48:53" ht="15.75" hidden="1">
      <c r="AV144" s="110">
        <v>100</v>
      </c>
      <c r="BA144" s="110"/>
    </row>
    <row r="145" spans="48:53" ht="15.75" hidden="1">
      <c r="AV145" s="110">
        <v>101</v>
      </c>
      <c r="BA145" s="110"/>
    </row>
    <row r="146" spans="48:53" ht="15.75" hidden="1">
      <c r="AV146" s="110">
        <v>102</v>
      </c>
      <c r="BA146" s="110"/>
    </row>
    <row r="147" spans="48:53" ht="15.75" hidden="1">
      <c r="AV147" s="110">
        <v>103</v>
      </c>
      <c r="BA147" s="110"/>
    </row>
    <row r="148" spans="48:53" ht="15.75" hidden="1">
      <c r="AV148" s="110">
        <v>104</v>
      </c>
      <c r="BA148" s="110"/>
    </row>
    <row r="149" spans="48:53" ht="15.75" hidden="1">
      <c r="AV149" s="110">
        <v>105</v>
      </c>
      <c r="BA149" s="110"/>
    </row>
    <row r="150" spans="48:53" ht="15.75" hidden="1">
      <c r="AV150" s="110">
        <v>106</v>
      </c>
      <c r="BA150" s="110"/>
    </row>
    <row r="151" spans="48:53" ht="15.75" hidden="1">
      <c r="AV151" s="110">
        <v>107</v>
      </c>
      <c r="BA151" s="110"/>
    </row>
    <row r="152" spans="48:53" ht="15.75" hidden="1">
      <c r="AV152" s="110">
        <v>108</v>
      </c>
      <c r="BA152" s="110"/>
    </row>
    <row r="153" spans="48:53" ht="15.75" hidden="1">
      <c r="AV153" s="110">
        <v>109</v>
      </c>
      <c r="BA153" s="110"/>
    </row>
    <row r="154" spans="48:53" ht="15.75" hidden="1">
      <c r="AV154" s="110">
        <v>110</v>
      </c>
      <c r="BA154" s="110"/>
    </row>
    <row r="155" spans="48:53" ht="15.75" hidden="1">
      <c r="AV155" s="110">
        <v>111</v>
      </c>
      <c r="BA155" s="110"/>
    </row>
    <row r="156" spans="48:53" ht="15.75" hidden="1">
      <c r="AV156" s="110">
        <v>112</v>
      </c>
      <c r="BA156" s="110"/>
    </row>
    <row r="157" spans="48:53" ht="15.75" hidden="1">
      <c r="AV157" s="110">
        <v>113</v>
      </c>
      <c r="BA157" s="110"/>
    </row>
    <row r="158" spans="48:53" ht="15.75" hidden="1">
      <c r="AV158" s="110">
        <v>114</v>
      </c>
      <c r="BA158" s="110"/>
    </row>
    <row r="159" spans="48:53" ht="15.75" hidden="1">
      <c r="AV159" s="110">
        <v>115</v>
      </c>
      <c r="BA159" s="110"/>
    </row>
    <row r="160" spans="48:53" ht="15.75" hidden="1">
      <c r="AV160" s="110">
        <v>116</v>
      </c>
      <c r="BA160" s="110"/>
    </row>
    <row r="161" spans="48:53" ht="15.75" hidden="1">
      <c r="AV161" s="110">
        <v>117</v>
      </c>
      <c r="BA161" s="110"/>
    </row>
    <row r="162" spans="48:53" ht="15.75" hidden="1">
      <c r="AV162" s="110">
        <v>118</v>
      </c>
      <c r="BA162" s="110"/>
    </row>
    <row r="163" spans="48:53" ht="15.75" hidden="1">
      <c r="AV163" s="110">
        <v>119</v>
      </c>
      <c r="BA163" s="110"/>
    </row>
    <row r="164" spans="48:53" ht="15.75" hidden="1">
      <c r="AV164" s="110">
        <v>120</v>
      </c>
      <c r="BA164" s="110"/>
    </row>
    <row r="165" spans="48:53" ht="15.75" hidden="1">
      <c r="AV165" s="110">
        <v>121</v>
      </c>
      <c r="BA165" s="110"/>
    </row>
    <row r="166" spans="48:53" ht="15.75" hidden="1">
      <c r="AV166" s="110">
        <v>122</v>
      </c>
      <c r="BA166" s="110"/>
    </row>
    <row r="167" spans="48:53" ht="15.75" hidden="1">
      <c r="AV167" s="110">
        <v>123</v>
      </c>
      <c r="BA167" s="110"/>
    </row>
    <row r="168" spans="48:53" ht="15.75" hidden="1">
      <c r="AV168" s="110">
        <v>124</v>
      </c>
      <c r="BA168" s="110"/>
    </row>
    <row r="169" spans="48:53" ht="15.75" hidden="1">
      <c r="AV169" s="110">
        <v>125</v>
      </c>
      <c r="BA169" s="110"/>
    </row>
    <row r="170" spans="48:53" ht="15.75" hidden="1">
      <c r="AV170" s="110">
        <v>126</v>
      </c>
      <c r="BA170" s="110"/>
    </row>
    <row r="171" spans="48:53" ht="15.75" hidden="1">
      <c r="AV171" s="110">
        <v>127</v>
      </c>
      <c r="BA171" s="110"/>
    </row>
    <row r="172" spans="48:53" ht="15.75" hidden="1">
      <c r="AV172" s="110">
        <v>128</v>
      </c>
      <c r="BA172" s="110"/>
    </row>
    <row r="173" spans="48:53" ht="15.75" hidden="1">
      <c r="AV173" s="110">
        <v>129</v>
      </c>
      <c r="BA173" s="110"/>
    </row>
    <row r="174" spans="48:53" ht="15.75" hidden="1">
      <c r="AV174" s="110">
        <v>130</v>
      </c>
      <c r="BA174" s="110"/>
    </row>
    <row r="175" spans="48:53" ht="15.75" hidden="1">
      <c r="AV175" s="110">
        <v>131</v>
      </c>
      <c r="BA175" s="110"/>
    </row>
    <row r="176" spans="48:53" ht="15.75" hidden="1">
      <c r="AV176" s="110">
        <v>132</v>
      </c>
      <c r="BA176" s="110"/>
    </row>
    <row r="177" spans="48:53" ht="15.75" hidden="1">
      <c r="AV177" s="110">
        <v>133</v>
      </c>
      <c r="BA177" s="110"/>
    </row>
    <row r="178" spans="48:53" ht="15.75" hidden="1">
      <c r="AV178" s="110">
        <v>134</v>
      </c>
      <c r="BA178" s="110"/>
    </row>
    <row r="179" spans="48:53" ht="15.75" hidden="1">
      <c r="AV179" s="110">
        <v>135</v>
      </c>
      <c r="BA179" s="110"/>
    </row>
    <row r="180" spans="48:53" ht="15.75" hidden="1">
      <c r="AV180" s="110">
        <v>136</v>
      </c>
      <c r="BA180" s="110"/>
    </row>
    <row r="181" spans="48:53" ht="15.75" hidden="1">
      <c r="AV181" s="110">
        <v>137</v>
      </c>
      <c r="BA181" s="110"/>
    </row>
    <row r="182" spans="48:53" ht="15.75" hidden="1">
      <c r="AV182" s="110">
        <v>138</v>
      </c>
      <c r="BA182" s="110"/>
    </row>
    <row r="183" spans="48:53" ht="15.75" hidden="1">
      <c r="AV183" s="110">
        <v>139</v>
      </c>
      <c r="BA183" s="110"/>
    </row>
    <row r="184" spans="48:53" ht="15.75" hidden="1">
      <c r="AV184" s="110">
        <v>140</v>
      </c>
      <c r="BA184" s="110"/>
    </row>
    <row r="185" spans="48:53" ht="15.75" hidden="1">
      <c r="AV185" s="110">
        <v>141</v>
      </c>
      <c r="BA185" s="110"/>
    </row>
    <row r="186" spans="48:53" ht="15.75" hidden="1">
      <c r="AV186" s="110">
        <v>142</v>
      </c>
      <c r="BA186" s="110"/>
    </row>
    <row r="187" spans="48:53" ht="15.75" hidden="1">
      <c r="AV187" s="110">
        <v>143</v>
      </c>
      <c r="BA187" s="110"/>
    </row>
    <row r="188" spans="48:53" ht="15.75" hidden="1">
      <c r="AV188" s="110">
        <v>144</v>
      </c>
      <c r="BA188" s="110"/>
    </row>
    <row r="189" spans="48:53" ht="15.75" hidden="1">
      <c r="AV189" s="110">
        <v>145</v>
      </c>
      <c r="BA189" s="110"/>
    </row>
    <row r="190" spans="48:53" ht="15.75" hidden="1">
      <c r="AV190" s="110">
        <v>146</v>
      </c>
      <c r="BA190" s="110"/>
    </row>
    <row r="191" spans="48:53" ht="15.75" hidden="1">
      <c r="AV191" s="110">
        <v>147</v>
      </c>
      <c r="BA191" s="110"/>
    </row>
    <row r="192" spans="48:53" ht="15.75" hidden="1">
      <c r="AV192" s="110">
        <v>148</v>
      </c>
      <c r="BA192" s="110"/>
    </row>
    <row r="193" spans="48:53" ht="15.75" hidden="1">
      <c r="AV193" s="110">
        <v>149</v>
      </c>
      <c r="BA193" s="110"/>
    </row>
    <row r="194" spans="48:53" ht="15.75" hidden="1">
      <c r="AV194" s="110">
        <v>150</v>
      </c>
      <c r="BA194" s="110"/>
    </row>
    <row r="195" spans="48:53" ht="15.75" hidden="1">
      <c r="AV195" s="110">
        <v>151</v>
      </c>
      <c r="BA195" s="110"/>
    </row>
    <row r="196" spans="48:53" ht="15.75" hidden="1">
      <c r="AV196" s="110">
        <v>152</v>
      </c>
      <c r="BA196" s="110"/>
    </row>
    <row r="197" spans="48:53" ht="15.75" hidden="1">
      <c r="AV197" s="110">
        <v>153</v>
      </c>
      <c r="BA197" s="110"/>
    </row>
    <row r="198" spans="48:53" ht="15.75" hidden="1">
      <c r="AV198" s="110">
        <v>154</v>
      </c>
      <c r="BA198" s="110"/>
    </row>
    <row r="199" spans="48:53" ht="15.75" hidden="1">
      <c r="AV199" s="110">
        <v>155</v>
      </c>
      <c r="BA199" s="110"/>
    </row>
    <row r="200" spans="48:53" ht="15.75" hidden="1">
      <c r="AV200" s="110">
        <v>156</v>
      </c>
      <c r="BA200" s="110"/>
    </row>
    <row r="201" spans="48:53" ht="15.75" hidden="1">
      <c r="AV201" s="110">
        <v>157</v>
      </c>
      <c r="BA201" s="110"/>
    </row>
    <row r="202" spans="48:53" ht="15.75" hidden="1">
      <c r="AV202" s="110">
        <v>158</v>
      </c>
      <c r="BA202" s="110"/>
    </row>
    <row r="203" spans="48:53" ht="15.75" hidden="1">
      <c r="AV203" s="110">
        <v>159</v>
      </c>
      <c r="BA203" s="110"/>
    </row>
    <row r="204" spans="48:53" ht="15.75" hidden="1">
      <c r="AV204" s="110">
        <v>160</v>
      </c>
      <c r="BA204" s="110"/>
    </row>
    <row r="205" spans="48:53" ht="15.75" hidden="1">
      <c r="AV205" s="110">
        <v>161</v>
      </c>
      <c r="BA205" s="110"/>
    </row>
    <row r="206" spans="48:53" ht="15.75" hidden="1">
      <c r="AV206" s="110">
        <v>162</v>
      </c>
      <c r="BA206" s="110"/>
    </row>
    <row r="207" spans="48:53" ht="15.75" hidden="1">
      <c r="AV207" s="110">
        <v>163</v>
      </c>
      <c r="BA207" s="110"/>
    </row>
    <row r="208" spans="48:53" ht="15.75" hidden="1">
      <c r="AV208" s="110">
        <v>164</v>
      </c>
      <c r="BA208" s="110"/>
    </row>
    <row r="209" spans="48:53" ht="15.75" hidden="1">
      <c r="AV209" s="110">
        <v>165</v>
      </c>
      <c r="BA209" s="110"/>
    </row>
    <row r="210" spans="48:53" ht="15.75" hidden="1">
      <c r="AV210" s="110">
        <v>166</v>
      </c>
      <c r="BA210" s="110"/>
    </row>
    <row r="211" spans="48:53" ht="15.75" hidden="1">
      <c r="AV211" s="110">
        <v>167</v>
      </c>
      <c r="BA211" s="110"/>
    </row>
    <row r="212" spans="48:53" ht="15.75" hidden="1">
      <c r="AV212" s="110">
        <v>168</v>
      </c>
      <c r="BA212" s="110"/>
    </row>
    <row r="213" spans="48:53" ht="15.75" hidden="1">
      <c r="AV213" s="110">
        <v>169</v>
      </c>
      <c r="BA213" s="110"/>
    </row>
    <row r="214" spans="48:53" ht="15.75" hidden="1">
      <c r="AV214" s="110">
        <v>170</v>
      </c>
      <c r="BA214" s="110"/>
    </row>
    <row r="215" spans="48:53" ht="15.75" hidden="1">
      <c r="AV215" s="110">
        <v>171</v>
      </c>
      <c r="BA215" s="110"/>
    </row>
    <row r="216" spans="48:53" ht="15.75" hidden="1">
      <c r="AV216" s="110">
        <v>172</v>
      </c>
      <c r="BA216" s="110"/>
    </row>
    <row r="217" spans="48:53" ht="15.75" hidden="1">
      <c r="AV217" s="110">
        <v>173</v>
      </c>
      <c r="BA217" s="110"/>
    </row>
    <row r="218" spans="48:53" ht="15.75" hidden="1">
      <c r="AV218" s="110">
        <v>174</v>
      </c>
      <c r="BA218" s="110"/>
    </row>
    <row r="219" spans="48:53" ht="15.75" hidden="1">
      <c r="AV219" s="110">
        <v>175</v>
      </c>
      <c r="BA219" s="110"/>
    </row>
    <row r="220" spans="48:53" ht="15.75" hidden="1">
      <c r="AV220" s="110">
        <v>176</v>
      </c>
      <c r="BA220" s="110"/>
    </row>
    <row r="221" spans="48:53" ht="15.75" hidden="1">
      <c r="AV221" s="110">
        <v>177</v>
      </c>
      <c r="BA221" s="110"/>
    </row>
    <row r="222" spans="48:53" ht="15.75" hidden="1">
      <c r="AV222" s="110">
        <v>178</v>
      </c>
      <c r="BA222" s="110"/>
    </row>
    <row r="223" spans="48:53" ht="15.75" hidden="1">
      <c r="AV223" s="110">
        <v>179</v>
      </c>
      <c r="BA223" s="110"/>
    </row>
    <row r="224" spans="48:53" ht="15.75" hidden="1">
      <c r="AV224" s="110">
        <v>180</v>
      </c>
      <c r="BA224" s="110"/>
    </row>
    <row r="225" spans="48:53" ht="15.75" hidden="1">
      <c r="AV225" s="110">
        <v>181</v>
      </c>
      <c r="BA225" s="110"/>
    </row>
    <row r="226" spans="48:53" ht="15.75" hidden="1">
      <c r="AV226" s="110">
        <v>182</v>
      </c>
      <c r="BA226" s="110"/>
    </row>
    <row r="227" spans="48:53" ht="15.75" hidden="1">
      <c r="AV227" s="110">
        <v>183</v>
      </c>
      <c r="BA227" s="110"/>
    </row>
    <row r="228" spans="48:53" ht="15.75" hidden="1">
      <c r="AV228" s="110">
        <v>184</v>
      </c>
      <c r="BA228" s="110"/>
    </row>
    <row r="229" spans="48:53" ht="15.75" hidden="1">
      <c r="AV229" s="110">
        <v>185</v>
      </c>
      <c r="BA229" s="110"/>
    </row>
    <row r="230" spans="48:53" ht="15.75" hidden="1">
      <c r="AV230" s="110">
        <v>186</v>
      </c>
      <c r="BA230" s="110"/>
    </row>
    <row r="231" spans="48:53" ht="15.75" hidden="1">
      <c r="AV231" s="110">
        <v>187</v>
      </c>
      <c r="BA231" s="110"/>
    </row>
    <row r="232" spans="48:53" ht="15.75" hidden="1">
      <c r="AV232" s="110">
        <v>188</v>
      </c>
      <c r="BA232" s="110"/>
    </row>
    <row r="233" spans="48:53" ht="15.75" hidden="1">
      <c r="AV233" s="110">
        <v>189</v>
      </c>
      <c r="BA233" s="110"/>
    </row>
    <row r="234" spans="48:53" ht="15.75" hidden="1">
      <c r="AV234" s="110">
        <v>190</v>
      </c>
      <c r="BA234" s="110"/>
    </row>
    <row r="235" spans="48:53" ht="15.75" hidden="1">
      <c r="AV235" s="110">
        <v>191</v>
      </c>
      <c r="BA235" s="110"/>
    </row>
    <row r="236" spans="48:53" ht="15.75" hidden="1">
      <c r="AV236" s="110">
        <v>192</v>
      </c>
      <c r="BA236" s="110"/>
    </row>
    <row r="237" spans="48:53" ht="15.75" hidden="1">
      <c r="AV237" s="110">
        <v>193</v>
      </c>
      <c r="BA237" s="110"/>
    </row>
    <row r="238" spans="48:53" ht="15.75" hidden="1">
      <c r="AV238" s="110">
        <v>194</v>
      </c>
      <c r="BA238" s="110"/>
    </row>
    <row r="239" spans="48:53" ht="15.75" hidden="1">
      <c r="AV239" s="110">
        <v>195</v>
      </c>
      <c r="BA239" s="110"/>
    </row>
    <row r="240" spans="48:53" ht="15.75" hidden="1">
      <c r="AV240" s="110">
        <v>196</v>
      </c>
      <c r="BA240" s="110"/>
    </row>
    <row r="241" spans="48:53" ht="15.75" hidden="1">
      <c r="AV241" s="110">
        <v>197</v>
      </c>
      <c r="BA241" s="110"/>
    </row>
    <row r="242" spans="48:53" ht="15.75" hidden="1">
      <c r="AV242" s="110">
        <v>198</v>
      </c>
      <c r="BA242" s="110"/>
    </row>
    <row r="243" spans="48:53" ht="15.75" hidden="1">
      <c r="AV243" s="110">
        <v>199</v>
      </c>
      <c r="BA243" s="110"/>
    </row>
    <row r="244" spans="48:53" ht="15.75" hidden="1">
      <c r="AV244" s="110">
        <v>200</v>
      </c>
      <c r="BA244" s="110"/>
    </row>
    <row r="245" spans="48:53" ht="15.75" hidden="1">
      <c r="AV245" s="110">
        <v>201</v>
      </c>
      <c r="BA245" s="110"/>
    </row>
    <row r="246" spans="48:53" ht="15.75" hidden="1">
      <c r="AV246" s="110">
        <v>202</v>
      </c>
      <c r="BA246" s="110"/>
    </row>
    <row r="247" spans="48:53" ht="15.75" hidden="1">
      <c r="AV247" s="110">
        <v>203</v>
      </c>
      <c r="BA247" s="110"/>
    </row>
    <row r="248" spans="48:53" ht="15.75" hidden="1">
      <c r="AV248" s="110">
        <v>204</v>
      </c>
      <c r="BA248" s="110"/>
    </row>
    <row r="249" spans="48:53" ht="15.75" hidden="1">
      <c r="AV249" s="110">
        <v>205</v>
      </c>
      <c r="BA249" s="110"/>
    </row>
    <row r="250" spans="48:53" ht="15.75" hidden="1">
      <c r="AV250" s="110">
        <v>206</v>
      </c>
      <c r="BA250" s="110"/>
    </row>
    <row r="251" spans="48:53" ht="15.75" hidden="1">
      <c r="AV251" s="110">
        <v>207</v>
      </c>
      <c r="BA251" s="110"/>
    </row>
    <row r="252" spans="48:53" ht="15.75" hidden="1">
      <c r="AV252" s="110">
        <v>208</v>
      </c>
      <c r="BA252" s="110"/>
    </row>
    <row r="253" spans="48:53" ht="15.75" hidden="1">
      <c r="AV253" s="110">
        <v>209</v>
      </c>
      <c r="BA253" s="110"/>
    </row>
    <row r="254" spans="48:53" ht="15.75" hidden="1">
      <c r="AV254" s="110">
        <v>210</v>
      </c>
      <c r="BA254" s="110"/>
    </row>
    <row r="255" spans="48:53" ht="15.75" hidden="1">
      <c r="AV255" s="110">
        <v>211</v>
      </c>
      <c r="BA255" s="110"/>
    </row>
    <row r="256" spans="48:53" ht="15.75" hidden="1">
      <c r="AV256" s="110">
        <v>212</v>
      </c>
      <c r="BA256" s="110"/>
    </row>
    <row r="257" spans="48:53" ht="15.75" hidden="1">
      <c r="AV257" s="110">
        <v>213</v>
      </c>
      <c r="BA257" s="110"/>
    </row>
    <row r="258" spans="48:53" ht="15.75" hidden="1">
      <c r="AV258" s="110">
        <v>214</v>
      </c>
      <c r="BA258" s="110"/>
    </row>
    <row r="259" spans="48:53" ht="15.75" hidden="1">
      <c r="AV259" s="110">
        <v>215</v>
      </c>
      <c r="BA259" s="110"/>
    </row>
    <row r="260" spans="48:53" ht="15.75" hidden="1">
      <c r="AV260" s="110">
        <v>216</v>
      </c>
      <c r="BA260" s="110"/>
    </row>
    <row r="261" spans="48:53" ht="15.75" hidden="1">
      <c r="AV261" s="110">
        <v>217</v>
      </c>
      <c r="BA261" s="110"/>
    </row>
    <row r="262" spans="48:53" ht="15.75" hidden="1">
      <c r="AV262" s="110">
        <v>218</v>
      </c>
      <c r="BA262" s="110"/>
    </row>
    <row r="263" spans="48:53" ht="15.75" hidden="1">
      <c r="AV263" s="110">
        <v>219</v>
      </c>
      <c r="BA263" s="110"/>
    </row>
    <row r="264" spans="48:53" ht="15.75" hidden="1">
      <c r="AV264" s="110">
        <v>220</v>
      </c>
      <c r="BA264" s="110"/>
    </row>
    <row r="265" spans="48:53" ht="15.75" hidden="1">
      <c r="AV265" s="110">
        <v>221</v>
      </c>
      <c r="BA265" s="110"/>
    </row>
    <row r="266" spans="48:53" ht="15.75" hidden="1">
      <c r="AV266" s="110">
        <v>222</v>
      </c>
      <c r="BA266" s="110"/>
    </row>
    <row r="267" spans="48:53" ht="15.75" hidden="1">
      <c r="AV267" s="110">
        <v>223</v>
      </c>
      <c r="BA267" s="110"/>
    </row>
    <row r="268" spans="48:53" ht="15.75" hidden="1">
      <c r="AV268" s="110">
        <v>224</v>
      </c>
      <c r="BA268" s="110"/>
    </row>
    <row r="269" spans="48:53" ht="15.75" hidden="1">
      <c r="AV269" s="110">
        <v>225</v>
      </c>
      <c r="BA269" s="110"/>
    </row>
    <row r="270" spans="48:53" ht="15.75" hidden="1">
      <c r="AV270" s="110">
        <v>226</v>
      </c>
      <c r="BA270" s="110"/>
    </row>
    <row r="271" spans="48:53" ht="15.75" hidden="1">
      <c r="AV271" s="110">
        <v>227</v>
      </c>
      <c r="BA271" s="110"/>
    </row>
    <row r="272" spans="48:53" ht="15.75" hidden="1">
      <c r="AV272" s="110">
        <v>228</v>
      </c>
      <c r="BA272" s="110"/>
    </row>
    <row r="273" spans="48:53" ht="15.75" hidden="1">
      <c r="AV273" s="110">
        <v>229</v>
      </c>
      <c r="BA273" s="110"/>
    </row>
    <row r="274" spans="48:53" ht="15.75" hidden="1">
      <c r="AV274" s="110">
        <v>230</v>
      </c>
      <c r="BA274" s="110"/>
    </row>
    <row r="275" spans="48:53" ht="15.75" hidden="1">
      <c r="AV275" s="110">
        <v>231</v>
      </c>
      <c r="BA275" s="110"/>
    </row>
    <row r="276" spans="48:53" ht="15.75" hidden="1">
      <c r="AV276" s="110">
        <v>232</v>
      </c>
      <c r="BA276" s="110"/>
    </row>
    <row r="277" spans="48:53" ht="15.75" hidden="1">
      <c r="AV277" s="110">
        <v>233</v>
      </c>
      <c r="BA277" s="110"/>
    </row>
    <row r="278" spans="48:53" ht="15.75" hidden="1">
      <c r="AV278" s="110">
        <v>234</v>
      </c>
      <c r="BA278" s="110"/>
    </row>
    <row r="279" spans="48:53" ht="15.75" hidden="1">
      <c r="AV279" s="110">
        <v>235</v>
      </c>
      <c r="BA279" s="110"/>
    </row>
    <row r="280" spans="48:53" ht="15.75" hidden="1">
      <c r="AV280" s="110">
        <v>236</v>
      </c>
      <c r="BA280" s="110"/>
    </row>
    <row r="281" spans="48:53" ht="15.75" hidden="1">
      <c r="AV281" s="110">
        <v>237</v>
      </c>
      <c r="BA281" s="110"/>
    </row>
    <row r="282" spans="48:53" ht="15.75" hidden="1">
      <c r="AV282" s="110">
        <v>238</v>
      </c>
      <c r="BA282" s="110"/>
    </row>
    <row r="283" spans="48:53" ht="15.75" hidden="1">
      <c r="AV283" s="110">
        <v>239</v>
      </c>
      <c r="BA283" s="110"/>
    </row>
    <row r="284" spans="48:53" ht="15.75" hidden="1">
      <c r="AV284" s="110">
        <v>240</v>
      </c>
      <c r="BA284" s="110"/>
    </row>
    <row r="285" spans="48:53" ht="15.75" hidden="1">
      <c r="AV285" s="110">
        <v>241</v>
      </c>
      <c r="BA285" s="110"/>
    </row>
    <row r="286" spans="48:53" ht="15.75" hidden="1">
      <c r="AV286" s="110">
        <v>242</v>
      </c>
      <c r="BA286" s="110"/>
    </row>
    <row r="287" spans="48:53" ht="15.75" hidden="1">
      <c r="AV287" s="110">
        <v>243</v>
      </c>
      <c r="BA287" s="110"/>
    </row>
    <row r="288" spans="48:53" ht="15.75" hidden="1">
      <c r="AV288" s="110">
        <v>244</v>
      </c>
      <c r="BA288" s="110"/>
    </row>
    <row r="289" spans="48:53" ht="15.75" hidden="1">
      <c r="AV289" s="110">
        <v>245</v>
      </c>
      <c r="BA289" s="110"/>
    </row>
    <row r="290" spans="48:53" ht="15.75" hidden="1">
      <c r="AV290" s="110">
        <v>246</v>
      </c>
      <c r="BA290" s="110"/>
    </row>
    <row r="291" spans="48:53" ht="15.75" hidden="1">
      <c r="AV291" s="110">
        <v>247</v>
      </c>
      <c r="BA291" s="110"/>
    </row>
    <row r="292" spans="48:53" ht="15.75" hidden="1">
      <c r="AV292" s="110">
        <v>248</v>
      </c>
      <c r="BA292" s="110"/>
    </row>
    <row r="293" spans="48:53" ht="15.75" hidden="1">
      <c r="AV293" s="110">
        <v>249</v>
      </c>
      <c r="BA293" s="110"/>
    </row>
    <row r="294" spans="48:53" ht="15.75" hidden="1">
      <c r="AV294" s="110">
        <v>250</v>
      </c>
      <c r="BA294" s="110"/>
    </row>
    <row r="295" spans="48:53" ht="15.75" hidden="1">
      <c r="AV295" s="110">
        <v>251</v>
      </c>
      <c r="BA295" s="110"/>
    </row>
    <row r="296" spans="48:53" ht="15.75" hidden="1">
      <c r="AV296" s="110">
        <v>252</v>
      </c>
      <c r="BA296" s="110"/>
    </row>
    <row r="297" spans="48:53" ht="15.75" hidden="1">
      <c r="AV297" s="110">
        <v>253</v>
      </c>
      <c r="BA297" s="110"/>
    </row>
    <row r="298" spans="48:53" ht="15.75" hidden="1">
      <c r="AV298" s="110">
        <v>254</v>
      </c>
      <c r="BA298" s="110"/>
    </row>
    <row r="299" spans="48:53" ht="15.75" hidden="1">
      <c r="AV299" s="110">
        <v>255</v>
      </c>
      <c r="BA299" s="110"/>
    </row>
    <row r="300" spans="48:53" ht="15.75" hidden="1">
      <c r="AV300" s="110">
        <v>256</v>
      </c>
      <c r="BA300" s="110"/>
    </row>
    <row r="301" spans="48:53" ht="15.75" hidden="1">
      <c r="AV301" s="110">
        <v>257</v>
      </c>
      <c r="BA301" s="110"/>
    </row>
    <row r="302" spans="48:53" ht="15.75" hidden="1">
      <c r="AV302" s="110">
        <v>258</v>
      </c>
      <c r="BA302" s="110"/>
    </row>
    <row r="303" spans="48:53" ht="15.75" hidden="1">
      <c r="AV303" s="110">
        <v>259</v>
      </c>
      <c r="BA303" s="110"/>
    </row>
    <row r="304" spans="48:53" ht="15.75" hidden="1">
      <c r="AV304" s="110">
        <v>260</v>
      </c>
      <c r="BA304" s="110"/>
    </row>
    <row r="305" spans="48:53" ht="15.75" hidden="1">
      <c r="AV305" s="110">
        <v>261</v>
      </c>
      <c r="BA305" s="110"/>
    </row>
    <row r="306" spans="48:53" ht="15.75" hidden="1">
      <c r="AV306" s="110">
        <v>262</v>
      </c>
      <c r="BA306" s="110"/>
    </row>
    <row r="307" spans="48:53" ht="15.75" hidden="1">
      <c r="AV307" s="110">
        <v>263</v>
      </c>
      <c r="BA307" s="110"/>
    </row>
    <row r="308" spans="48:53" ht="15.75" hidden="1">
      <c r="AV308" s="110">
        <v>264</v>
      </c>
      <c r="BA308" s="110"/>
    </row>
    <row r="309" spans="48:53" ht="15.75" hidden="1">
      <c r="AV309" s="110">
        <v>265</v>
      </c>
      <c r="BA309" s="110"/>
    </row>
    <row r="310" spans="48:53" ht="15.75" hidden="1">
      <c r="AV310" s="110">
        <v>266</v>
      </c>
      <c r="BA310" s="110"/>
    </row>
    <row r="311" spans="48:53" ht="15.75" hidden="1">
      <c r="AV311" s="110">
        <v>267</v>
      </c>
      <c r="BA311" s="110"/>
    </row>
    <row r="312" spans="48:53" ht="15.75" hidden="1">
      <c r="AV312" s="110">
        <v>268</v>
      </c>
      <c r="BA312" s="110"/>
    </row>
    <row r="313" spans="48:53" ht="15.75" hidden="1">
      <c r="AV313" s="110">
        <v>269</v>
      </c>
      <c r="BA313" s="110"/>
    </row>
    <row r="314" spans="48:53" ht="15.75" hidden="1">
      <c r="AV314" s="110">
        <v>270</v>
      </c>
      <c r="BA314" s="110"/>
    </row>
    <row r="315" spans="48:53" ht="15.75" hidden="1">
      <c r="AV315" s="110">
        <v>271</v>
      </c>
      <c r="BA315" s="110"/>
    </row>
    <row r="316" spans="48:53" ht="15.75" hidden="1">
      <c r="AV316" s="110">
        <v>272</v>
      </c>
      <c r="BA316" s="110"/>
    </row>
    <row r="317" spans="48:53" ht="15.75" hidden="1">
      <c r="AV317" s="110">
        <v>273</v>
      </c>
      <c r="BA317" s="110"/>
    </row>
    <row r="318" spans="48:53" ht="15.75" hidden="1">
      <c r="AV318" s="110">
        <v>274</v>
      </c>
      <c r="BA318" s="110"/>
    </row>
    <row r="319" spans="48:53" ht="15.75" hidden="1">
      <c r="AV319" s="110">
        <v>275</v>
      </c>
      <c r="BA319" s="110"/>
    </row>
    <row r="320" spans="48:53" ht="15.75" hidden="1">
      <c r="AV320" s="110">
        <v>276</v>
      </c>
      <c r="BA320" s="110"/>
    </row>
    <row r="321" spans="48:53" ht="15.75" hidden="1">
      <c r="AV321" s="110">
        <v>277</v>
      </c>
      <c r="BA321" s="110"/>
    </row>
    <row r="322" spans="48:53" ht="15.75" hidden="1">
      <c r="AV322" s="110">
        <v>278</v>
      </c>
      <c r="BA322" s="110"/>
    </row>
    <row r="323" spans="48:53" ht="15.75" hidden="1">
      <c r="AV323" s="110">
        <v>279</v>
      </c>
      <c r="BA323" s="110"/>
    </row>
    <row r="324" spans="48:53" ht="15.75" hidden="1">
      <c r="AV324" s="110">
        <v>280</v>
      </c>
      <c r="BA324" s="110"/>
    </row>
    <row r="325" spans="48:53" ht="15.75" hidden="1">
      <c r="AV325" s="110">
        <v>281</v>
      </c>
      <c r="BA325" s="110"/>
    </row>
    <row r="326" spans="48:53" ht="15.75" hidden="1">
      <c r="AV326" s="110">
        <v>282</v>
      </c>
      <c r="BA326" s="110"/>
    </row>
    <row r="327" spans="48:53" ht="15.75" hidden="1">
      <c r="AV327" s="110">
        <v>283</v>
      </c>
      <c r="BA327" s="110"/>
    </row>
    <row r="328" spans="48:53" ht="15.75" hidden="1">
      <c r="AV328" s="110">
        <v>284</v>
      </c>
      <c r="BA328" s="110"/>
    </row>
    <row r="329" spans="48:53" ht="15.75" hidden="1">
      <c r="AV329" s="110">
        <v>285</v>
      </c>
      <c r="BA329" s="110"/>
    </row>
    <row r="330" spans="48:53" ht="15.75" hidden="1">
      <c r="AV330" s="110">
        <v>286</v>
      </c>
      <c r="BA330" s="110"/>
    </row>
    <row r="331" spans="48:53" ht="15.75" hidden="1">
      <c r="AV331" s="110">
        <v>287</v>
      </c>
      <c r="BA331" s="110"/>
    </row>
    <row r="332" spans="48:53" ht="15.75" hidden="1">
      <c r="AV332" s="110">
        <v>288</v>
      </c>
      <c r="BA332" s="110"/>
    </row>
    <row r="333" spans="48:53" ht="15.75" hidden="1">
      <c r="AV333" s="110">
        <v>289</v>
      </c>
      <c r="BA333" s="110"/>
    </row>
    <row r="334" spans="48:53" ht="15.75" hidden="1">
      <c r="AV334" s="110">
        <v>290</v>
      </c>
      <c r="BA334" s="110"/>
    </row>
    <row r="335" spans="48:53" ht="15.75" hidden="1">
      <c r="AV335" s="110">
        <v>291</v>
      </c>
      <c r="BA335" s="110"/>
    </row>
    <row r="336" spans="48:53" ht="15.75" hidden="1">
      <c r="AV336" s="110">
        <v>292</v>
      </c>
      <c r="BA336" s="110"/>
    </row>
    <row r="337" spans="48:53" ht="15.75" hidden="1">
      <c r="AV337" s="110">
        <v>293</v>
      </c>
      <c r="BA337" s="110"/>
    </row>
    <row r="338" spans="48:53" ht="15.75" hidden="1">
      <c r="AV338" s="110">
        <v>294</v>
      </c>
      <c r="BA338" s="110"/>
    </row>
    <row r="339" spans="48:53" ht="15.75" hidden="1">
      <c r="AV339" s="110">
        <v>295</v>
      </c>
      <c r="BA339" s="110"/>
    </row>
    <row r="340" spans="48:53" ht="15.75" hidden="1">
      <c r="AV340" s="110">
        <v>296</v>
      </c>
      <c r="BA340" s="110"/>
    </row>
    <row r="341" spans="48:53" ht="15.75" hidden="1">
      <c r="AV341" s="110">
        <v>297</v>
      </c>
      <c r="BA341" s="110"/>
    </row>
    <row r="342" spans="48:53" ht="15.75" hidden="1">
      <c r="AV342" s="110">
        <v>298</v>
      </c>
      <c r="BA342" s="110"/>
    </row>
    <row r="343" spans="48:53" ht="15.75" hidden="1">
      <c r="AV343" s="110">
        <v>299</v>
      </c>
      <c r="BA343" s="110"/>
    </row>
    <row r="344" spans="48:53" ht="15.75" hidden="1">
      <c r="AV344" s="110">
        <v>300</v>
      </c>
      <c r="BA344" s="110"/>
    </row>
  </sheetData>
  <sheetProtection password="E8FA" sheet="1" objects="1" scenarios="1" formatCells="0" formatColumns="0" formatRows="0" selectLockedCells="1"/>
  <mergeCells count="47">
    <mergeCell ref="AQ3:AT3"/>
    <mergeCell ref="E5:E8"/>
    <mergeCell ref="J5:J8"/>
    <mergeCell ref="L38:R38"/>
    <mergeCell ref="B39:AU39"/>
    <mergeCell ref="B15:D15"/>
    <mergeCell ref="B16:D16"/>
    <mergeCell ref="F14:J14"/>
    <mergeCell ref="B4:C8"/>
    <mergeCell ref="F15:H15"/>
    <mergeCell ref="F16:H16"/>
    <mergeCell ref="P4:P6"/>
    <mergeCell ref="Q4:Q6"/>
    <mergeCell ref="B9:C9"/>
    <mergeCell ref="B10:B11"/>
    <mergeCell ref="B12:B13"/>
    <mergeCell ref="A1:AU1"/>
    <mergeCell ref="A2:A39"/>
    <mergeCell ref="B2:AT2"/>
    <mergeCell ref="AU2:AU38"/>
    <mergeCell ref="B3:J3"/>
    <mergeCell ref="L3:AL3"/>
    <mergeCell ref="AC4:AL4"/>
    <mergeCell ref="F4:F8"/>
    <mergeCell ref="G4:G8"/>
    <mergeCell ref="H4:H8"/>
    <mergeCell ref="L4:L6"/>
    <mergeCell ref="M4:M6"/>
    <mergeCell ref="N4:N6"/>
    <mergeCell ref="O4:O6"/>
    <mergeCell ref="B17:J38"/>
    <mergeCell ref="B14:E14"/>
    <mergeCell ref="R4:R6"/>
    <mergeCell ref="D5:D8"/>
    <mergeCell ref="BD4:BE4"/>
    <mergeCell ref="Y5:AB5"/>
    <mergeCell ref="AC5:AH5"/>
    <mergeCell ref="BB4:BC4"/>
    <mergeCell ref="S5:X5"/>
    <mergeCell ref="AI5:AL5"/>
    <mergeCell ref="AW4:AX4"/>
    <mergeCell ref="AY4:AZ4"/>
    <mergeCell ref="AM4:AN5"/>
    <mergeCell ref="S4:AB4"/>
    <mergeCell ref="AO4:AP5"/>
    <mergeCell ref="AQ4:AR5"/>
    <mergeCell ref="AS4:AT5"/>
  </mergeCells>
  <conditionalFormatting sqref="S7:AQ37 Q7:Q37">
    <cfRule type="cellIs" dxfId="26" priority="13" operator="equal">
      <formula>0</formula>
    </cfRule>
  </conditionalFormatting>
  <conditionalFormatting sqref="L7:AQ37">
    <cfRule type="expression" dxfId="25" priority="12">
      <formula>$P7="Holiday"</formula>
    </cfRule>
  </conditionalFormatting>
  <conditionalFormatting sqref="AV38 AW7:AZ37 BB7:BE37">
    <cfRule type="cellIs" dxfId="24" priority="11" operator="greaterThan">
      <formula>0</formula>
    </cfRule>
  </conditionalFormatting>
  <conditionalFormatting sqref="S7:AB7 X8:X37 AB8:AB37">
    <cfRule type="expression" dxfId="23" priority="7">
      <formula>$P7="Holiday"</formula>
    </cfRule>
  </conditionalFormatting>
  <conditionalFormatting sqref="AP7:AQ37">
    <cfRule type="expression" dxfId="22" priority="5">
      <formula>$P7="Holiday"</formula>
    </cfRule>
  </conditionalFormatting>
  <conditionalFormatting sqref="AR7:AT37">
    <cfRule type="cellIs" dxfId="21" priority="4" operator="equal">
      <formula>0</formula>
    </cfRule>
  </conditionalFormatting>
  <conditionalFormatting sqref="AR7:AT37">
    <cfRule type="expression" dxfId="20" priority="3">
      <formula>$P7="Holiday"</formula>
    </cfRule>
  </conditionalFormatting>
  <dataValidations count="1">
    <dataValidation type="list" allowBlank="1" showInputMessage="1" showErrorMessage="1" sqref="O7:O37">
      <formula1>$AV$3:$AV$43</formula1>
    </dataValidation>
  </dataValidations>
  <pageMargins left="0.45" right="0.19" top="0.21" bottom="0.18" header="0.19" footer="0.16"/>
  <pageSetup scale="79" orientation="portrait" r:id="rId1"/>
  <legacyDrawing r:id="rId2"/>
</worksheet>
</file>

<file path=xl/worksheets/sheet6.xml><?xml version="1.0" encoding="utf-8"?>
<worksheet xmlns="http://schemas.openxmlformats.org/spreadsheetml/2006/main" xmlns:r="http://schemas.openxmlformats.org/officeDocument/2006/relationships">
  <sheetPr codeName="Sheet3">
    <tabColor rgb="FFFFFF00"/>
  </sheetPr>
  <dimension ref="A1:X71"/>
  <sheetViews>
    <sheetView showGridLines="0" workbookViewId="0">
      <selection activeCell="Q9" sqref="Q1:R1048576"/>
    </sheetView>
  </sheetViews>
  <sheetFormatPr defaultColWidth="0" defaultRowHeight="14.25" zeroHeight="1"/>
  <cols>
    <col min="1" max="1" width="1.42578125" style="188" customWidth="1"/>
    <col min="2" max="2" width="9.140625" style="33" customWidth="1"/>
    <col min="3" max="3" width="8.7109375" style="33" customWidth="1"/>
    <col min="4" max="4" width="10.140625" style="33" customWidth="1"/>
    <col min="5" max="5" width="9.85546875" style="33" customWidth="1"/>
    <col min="6" max="6" width="11.28515625" style="33" customWidth="1"/>
    <col min="7" max="7" width="7.7109375" style="33" customWidth="1"/>
    <col min="8" max="8" width="9.28515625" style="33" customWidth="1"/>
    <col min="9" max="9" width="13.42578125" style="33" customWidth="1"/>
    <col min="10" max="10" width="8.28515625" style="33" customWidth="1"/>
    <col min="11" max="11" width="10.7109375" style="33" customWidth="1"/>
    <col min="12" max="12" width="9.7109375" style="33" customWidth="1"/>
    <col min="13" max="14" width="8.28515625" style="33" customWidth="1"/>
    <col min="15" max="15" width="7.7109375" style="33" customWidth="1"/>
    <col min="16" max="16" width="2.28515625" style="33" customWidth="1"/>
    <col min="17" max="17" width="1.42578125" style="33" hidden="1" customWidth="1"/>
    <col min="18" max="18" width="2" style="188" hidden="1" customWidth="1"/>
    <col min="19" max="24" width="0" style="188" hidden="1" customWidth="1"/>
    <col min="25" max="16384" width="3.42578125" style="188" hidden="1"/>
  </cols>
  <sheetData>
    <row r="1" spans="1:17" ht="8.25" customHeight="1" thickBot="1">
      <c r="A1" s="980"/>
      <c r="B1" s="980"/>
      <c r="C1" s="980"/>
      <c r="D1" s="980"/>
      <c r="E1" s="980"/>
      <c r="F1" s="980"/>
      <c r="G1" s="980"/>
      <c r="H1" s="980"/>
      <c r="I1" s="980"/>
      <c r="J1" s="980"/>
      <c r="K1" s="980"/>
      <c r="L1" s="980"/>
      <c r="M1" s="980"/>
      <c r="N1" s="980"/>
      <c r="O1" s="980"/>
      <c r="P1" s="980"/>
      <c r="Q1" s="980"/>
    </row>
    <row r="2" spans="1:17" ht="24" customHeight="1" thickBot="1">
      <c r="A2" s="1115"/>
      <c r="B2" s="1128" t="s">
        <v>0</v>
      </c>
      <c r="C2" s="1129"/>
      <c r="D2" s="1129"/>
      <c r="E2" s="1140" t="str">
        <f>'Food-Data Entry'!AM3</f>
        <v>November-2025</v>
      </c>
      <c r="F2" s="1140"/>
      <c r="G2" s="1141" t="str">
        <f>CONCATENATE('School Info'!$B$4,'School Info'!$D$4)</f>
        <v>Office:Govt. Sr. Sec. School Raimalwada, Bapini (Phalodi)</v>
      </c>
      <c r="H2" s="1141"/>
      <c r="I2" s="1141"/>
      <c r="J2" s="1141"/>
      <c r="K2" s="1141"/>
      <c r="L2" s="1141"/>
      <c r="M2" s="1141"/>
      <c r="N2" s="1141"/>
      <c r="O2" s="1142"/>
      <c r="P2" s="189"/>
      <c r="Q2" s="978" t="str">
        <f>'School Info'!B2</f>
        <v>Prepared By:-  Mr. Ummeda Ram (Teacher,GSSS Raimalwada)</v>
      </c>
    </row>
    <row r="3" spans="1:17" ht="15" customHeight="1">
      <c r="A3" s="1115"/>
      <c r="B3" s="1051" t="s">
        <v>1</v>
      </c>
      <c r="C3" s="1116"/>
      <c r="D3" s="1116"/>
      <c r="E3" s="1116"/>
      <c r="F3" s="1116"/>
      <c r="G3" s="1116"/>
      <c r="H3" s="1116"/>
      <c r="I3" s="1116"/>
      <c r="J3" s="1116"/>
      <c r="K3" s="1116"/>
      <c r="L3" s="1116"/>
      <c r="M3" s="1116"/>
      <c r="N3" s="1116"/>
      <c r="O3" s="1117"/>
      <c r="P3" s="189"/>
      <c r="Q3" s="979"/>
    </row>
    <row r="4" spans="1:17" ht="19.5" customHeight="1">
      <c r="A4" s="1115"/>
      <c r="B4" s="1054" t="s">
        <v>2</v>
      </c>
      <c r="C4" s="1011"/>
      <c r="D4" s="1118">
        <f>'School Info'!$D$6</f>
        <v>8150506901</v>
      </c>
      <c r="E4" s="1119"/>
      <c r="F4" s="1119"/>
      <c r="G4" s="1011" t="s">
        <v>3</v>
      </c>
      <c r="H4" s="1011"/>
      <c r="I4" s="1011"/>
      <c r="J4" s="1011"/>
      <c r="K4" s="1011"/>
      <c r="L4" s="1120" t="str">
        <f>'School Info'!$D$4</f>
        <v>Govt. Sr. Sec. School Raimalwada, Bapini (Phalodi)</v>
      </c>
      <c r="M4" s="1121"/>
      <c r="N4" s="1121"/>
      <c r="O4" s="1122"/>
      <c r="P4" s="189"/>
      <c r="Q4" s="979"/>
    </row>
    <row r="5" spans="1:17" ht="14.25" customHeight="1">
      <c r="A5" s="1115"/>
      <c r="B5" s="1054" t="s">
        <v>4</v>
      </c>
      <c r="C5" s="1011"/>
      <c r="D5" s="1123" t="str">
        <f>'School Info'!$D$7</f>
        <v>Rural</v>
      </c>
      <c r="E5" s="1124"/>
      <c r="F5" s="1124"/>
      <c r="G5" s="1011" t="s">
        <v>6</v>
      </c>
      <c r="H5" s="1011"/>
      <c r="I5" s="1011"/>
      <c r="J5" s="1011"/>
      <c r="K5" s="1011"/>
      <c r="L5" s="1125" t="str">
        <f>'School Info'!$I$7</f>
        <v>Sr.Sec.(I to XII)</v>
      </c>
      <c r="M5" s="1126"/>
      <c r="N5" s="1126"/>
      <c r="O5" s="1127"/>
      <c r="P5" s="189"/>
      <c r="Q5" s="979"/>
    </row>
    <row r="6" spans="1:17" ht="14.25" customHeight="1">
      <c r="A6" s="1115"/>
      <c r="B6" s="1054" t="s">
        <v>7</v>
      </c>
      <c r="C6" s="1011"/>
      <c r="D6" s="1123" t="s">
        <v>8</v>
      </c>
      <c r="E6" s="1124"/>
      <c r="F6" s="1124"/>
      <c r="G6" s="1011" t="s">
        <v>9</v>
      </c>
      <c r="H6" s="1011"/>
      <c r="I6" s="1011"/>
      <c r="J6" s="1011"/>
      <c r="K6" s="1011"/>
      <c r="L6" s="1125" t="str">
        <f>'School Info'!$D$8</f>
        <v>Phalodi</v>
      </c>
      <c r="M6" s="1126"/>
      <c r="N6" s="1126"/>
      <c r="O6" s="1127"/>
      <c r="P6" s="189"/>
      <c r="Q6" s="979"/>
    </row>
    <row r="7" spans="1:17" ht="14.25" customHeight="1">
      <c r="A7" s="1115"/>
      <c r="B7" s="1054" t="s">
        <v>10</v>
      </c>
      <c r="C7" s="1011"/>
      <c r="D7" s="1123" t="str">
        <f>'School Info'!$D$9</f>
        <v>Raimalwada</v>
      </c>
      <c r="E7" s="1124"/>
      <c r="F7" s="1124"/>
      <c r="G7" s="1011" t="s">
        <v>11</v>
      </c>
      <c r="H7" s="1011"/>
      <c r="I7" s="1011"/>
      <c r="J7" s="1011"/>
      <c r="K7" s="1011"/>
      <c r="L7" s="1125" t="str">
        <f>'School Info'!$I$8</f>
        <v>Bapini</v>
      </c>
      <c r="M7" s="1126"/>
      <c r="N7" s="1126"/>
      <c r="O7" s="1127"/>
      <c r="P7" s="189"/>
      <c r="Q7" s="979"/>
    </row>
    <row r="8" spans="1:17" ht="14.25" customHeight="1">
      <c r="A8" s="1115"/>
      <c r="B8" s="1054" t="s">
        <v>12</v>
      </c>
      <c r="C8" s="1011"/>
      <c r="D8" s="1125">
        <f>'School Info'!$I$11</f>
        <v>0</v>
      </c>
      <c r="E8" s="1151"/>
      <c r="F8" s="1151"/>
      <c r="G8" s="1011" t="s">
        <v>13</v>
      </c>
      <c r="H8" s="1011"/>
      <c r="I8" s="1011"/>
      <c r="J8" s="1011"/>
      <c r="K8" s="1011"/>
      <c r="L8" s="1152">
        <f>'School Info'!$D$12</f>
        <v>0</v>
      </c>
      <c r="M8" s="1126"/>
      <c r="N8" s="1126"/>
      <c r="O8" s="1127"/>
      <c r="P8" s="189"/>
      <c r="Q8" s="979"/>
    </row>
    <row r="9" spans="1:17" ht="14.25" customHeight="1">
      <c r="A9" s="1115"/>
      <c r="B9" s="1143" t="s">
        <v>14</v>
      </c>
      <c r="C9" s="194" t="s">
        <v>15</v>
      </c>
      <c r="D9" s="1145">
        <f>'School Info'!P17</f>
        <v>345</v>
      </c>
      <c r="E9" s="1146"/>
      <c r="F9" s="1146"/>
      <c r="G9" s="1147" t="s">
        <v>16</v>
      </c>
      <c r="H9" s="1147"/>
      <c r="I9" s="1147"/>
      <c r="J9" s="1147"/>
      <c r="K9" s="1147"/>
      <c r="L9" s="1145">
        <f>'School Info'!D13</f>
        <v>0</v>
      </c>
      <c r="M9" s="1146"/>
      <c r="N9" s="1146"/>
      <c r="O9" s="1148"/>
      <c r="P9" s="189"/>
      <c r="Q9" s="1139"/>
    </row>
    <row r="10" spans="1:17" ht="14.25" customHeight="1" thickBot="1">
      <c r="A10" s="1115"/>
      <c r="B10" s="1144"/>
      <c r="C10" s="210" t="s">
        <v>17</v>
      </c>
      <c r="D10" s="1149">
        <f>'School Info'!P22</f>
        <v>303</v>
      </c>
      <c r="E10" s="1150"/>
      <c r="F10" s="1150"/>
      <c r="G10" s="1135" t="s">
        <v>18</v>
      </c>
      <c r="H10" s="1135"/>
      <c r="I10" s="1135"/>
      <c r="J10" s="1135"/>
      <c r="K10" s="1135"/>
      <c r="L10" s="1153">
        <f>'School Info'!I13</f>
        <v>0</v>
      </c>
      <c r="M10" s="1154"/>
      <c r="N10" s="1154"/>
      <c r="O10" s="1155"/>
      <c r="P10" s="189"/>
      <c r="Q10" s="1139"/>
    </row>
    <row r="11" spans="1:17" ht="15" customHeight="1">
      <c r="A11" s="1115"/>
      <c r="B11" s="1130" t="s">
        <v>301</v>
      </c>
      <c r="C11" s="1131"/>
      <c r="D11" s="1131"/>
      <c r="E11" s="1131"/>
      <c r="F11" s="1132" t="str">
        <f>E2</f>
        <v>November-2025</v>
      </c>
      <c r="G11" s="1132"/>
      <c r="H11" s="1133" t="s">
        <v>302</v>
      </c>
      <c r="I11" s="1133"/>
      <c r="J11" s="1133"/>
      <c r="K11" s="1133"/>
      <c r="L11" s="1133"/>
      <c r="M11" s="1133"/>
      <c r="N11" s="1133"/>
      <c r="O11" s="1134"/>
      <c r="P11" s="189"/>
      <c r="Q11" s="1139"/>
    </row>
    <row r="12" spans="1:17" ht="15.75" customHeight="1">
      <c r="A12" s="1115"/>
      <c r="B12" s="1031" t="s">
        <v>303</v>
      </c>
      <c r="C12" s="1008"/>
      <c r="D12" s="1034" t="s">
        <v>305</v>
      </c>
      <c r="E12" s="1008" t="s">
        <v>308</v>
      </c>
      <c r="F12" s="1008" t="s">
        <v>306</v>
      </c>
      <c r="G12" s="1008" t="s">
        <v>307</v>
      </c>
      <c r="H12" s="1008" t="s">
        <v>309</v>
      </c>
      <c r="I12" s="1008" t="s">
        <v>304</v>
      </c>
      <c r="J12" s="1008"/>
      <c r="K12" s="1034" t="s">
        <v>305</v>
      </c>
      <c r="L12" s="1008" t="s">
        <v>310</v>
      </c>
      <c r="M12" s="1008" t="s">
        <v>306</v>
      </c>
      <c r="N12" s="1008" t="s">
        <v>307</v>
      </c>
      <c r="O12" s="1087" t="s">
        <v>311</v>
      </c>
      <c r="P12" s="189"/>
      <c r="Q12" s="1139"/>
    </row>
    <row r="13" spans="1:17" ht="14.25" customHeight="1">
      <c r="A13" s="1115"/>
      <c r="B13" s="1031"/>
      <c r="C13" s="1008"/>
      <c r="D13" s="1034"/>
      <c r="E13" s="1008"/>
      <c r="F13" s="1008"/>
      <c r="G13" s="1008"/>
      <c r="H13" s="1008"/>
      <c r="I13" s="1008"/>
      <c r="J13" s="1008"/>
      <c r="K13" s="1034"/>
      <c r="L13" s="1008"/>
      <c r="M13" s="1008"/>
      <c r="N13" s="1008"/>
      <c r="O13" s="1087"/>
      <c r="P13" s="189"/>
      <c r="Q13" s="1139"/>
    </row>
    <row r="14" spans="1:17" ht="12" customHeight="1">
      <c r="A14" s="1115"/>
      <c r="B14" s="1114">
        <v>1</v>
      </c>
      <c r="C14" s="1085"/>
      <c r="D14" s="195">
        <v>2</v>
      </c>
      <c r="E14" s="195">
        <v>3</v>
      </c>
      <c r="F14" s="195">
        <v>4</v>
      </c>
      <c r="G14" s="195">
        <v>5</v>
      </c>
      <c r="H14" s="195">
        <v>6</v>
      </c>
      <c r="I14" s="1085">
        <v>7</v>
      </c>
      <c r="J14" s="1085"/>
      <c r="K14" s="195">
        <v>8</v>
      </c>
      <c r="L14" s="195">
        <v>9</v>
      </c>
      <c r="M14" s="195">
        <v>10</v>
      </c>
      <c r="N14" s="195">
        <v>11</v>
      </c>
      <c r="O14" s="211">
        <v>12</v>
      </c>
      <c r="P14" s="189"/>
      <c r="Q14" s="1139"/>
    </row>
    <row r="15" spans="1:17" ht="13.5" customHeight="1">
      <c r="A15" s="1115"/>
      <c r="B15" s="1066">
        <f>'Food-Data Entry'!Z38</f>
        <v>761</v>
      </c>
      <c r="C15" s="1018"/>
      <c r="D15" s="196">
        <f>'School Info'!E15</f>
        <v>6.78</v>
      </c>
      <c r="E15" s="197">
        <f>ROUND(B15*D15,10)</f>
        <v>5159.58</v>
      </c>
      <c r="F15" s="198">
        <f>'MIlk-Data Entry'!AH38</f>
        <v>30</v>
      </c>
      <c r="G15" s="199">
        <f>'School Info'!$E$19</f>
        <v>0.45</v>
      </c>
      <c r="H15" s="197">
        <f>F15*G15</f>
        <v>13.5</v>
      </c>
      <c r="I15" s="1018">
        <f>'Food-Data Entry'!AC38</f>
        <v>312</v>
      </c>
      <c r="J15" s="1018"/>
      <c r="K15" s="196">
        <f>'School Info'!E16</f>
        <v>10.17</v>
      </c>
      <c r="L15" s="197">
        <f>ROUND(I15*K15,10)</f>
        <v>3173.04</v>
      </c>
      <c r="M15" s="198">
        <f>'MIlk-Data Entry'!AL38</f>
        <v>12</v>
      </c>
      <c r="N15" s="199">
        <f>'School Info'!$E$20</f>
        <v>0.45</v>
      </c>
      <c r="O15" s="212">
        <f>M15*N15</f>
        <v>5.4</v>
      </c>
      <c r="P15" s="189"/>
      <c r="Q15" s="1139"/>
    </row>
    <row r="16" spans="1:17" ht="8.25" customHeight="1">
      <c r="A16" s="1115"/>
      <c r="B16" s="1066"/>
      <c r="C16" s="1018"/>
      <c r="D16" s="1018"/>
      <c r="E16" s="1018"/>
      <c r="F16" s="1018"/>
      <c r="G16" s="1018"/>
      <c r="H16" s="1018"/>
      <c r="I16" s="1018"/>
      <c r="J16" s="1018"/>
      <c r="K16" s="1018"/>
      <c r="L16" s="1018"/>
      <c r="M16" s="1018"/>
      <c r="N16" s="1018"/>
      <c r="O16" s="1019"/>
      <c r="P16" s="189"/>
      <c r="Q16" s="1139"/>
    </row>
    <row r="17" spans="1:17" ht="13.5" customHeight="1">
      <c r="A17" s="1115"/>
      <c r="B17" s="1031" t="s">
        <v>325</v>
      </c>
      <c r="C17" s="1008"/>
      <c r="D17" s="1008" t="s">
        <v>312</v>
      </c>
      <c r="E17" s="1008"/>
      <c r="F17" s="1008" t="s">
        <v>328</v>
      </c>
      <c r="G17" s="1008"/>
      <c r="H17" s="1008" t="s">
        <v>313</v>
      </c>
      <c r="I17" s="1096" t="s">
        <v>314</v>
      </c>
      <c r="J17" s="1096"/>
      <c r="K17" s="1008" t="s">
        <v>315</v>
      </c>
      <c r="L17" s="1008"/>
      <c r="M17" s="1008"/>
      <c r="N17" s="1008" t="s">
        <v>316</v>
      </c>
      <c r="O17" s="1087"/>
      <c r="P17" s="189"/>
      <c r="Q17" s="1139"/>
    </row>
    <row r="18" spans="1:17" ht="21.75" customHeight="1">
      <c r="A18" s="1115"/>
      <c r="B18" s="1031"/>
      <c r="C18" s="1008"/>
      <c r="D18" s="1008"/>
      <c r="E18" s="1008"/>
      <c r="F18" s="1008"/>
      <c r="G18" s="1008"/>
      <c r="H18" s="1008"/>
      <c r="I18" s="1096"/>
      <c r="J18" s="1096"/>
      <c r="K18" s="1008"/>
      <c r="L18" s="1008"/>
      <c r="M18" s="1008"/>
      <c r="N18" s="1008"/>
      <c r="O18" s="1087"/>
      <c r="P18" s="189"/>
      <c r="Q18" s="1139"/>
    </row>
    <row r="19" spans="1:17" ht="10.5" customHeight="1">
      <c r="A19" s="1115"/>
      <c r="B19" s="1114">
        <v>13</v>
      </c>
      <c r="C19" s="1085"/>
      <c r="D19" s="1085">
        <v>14</v>
      </c>
      <c r="E19" s="1085"/>
      <c r="F19" s="1085">
        <v>15</v>
      </c>
      <c r="G19" s="1085"/>
      <c r="H19" s="195">
        <v>16</v>
      </c>
      <c r="I19" s="1085">
        <v>17</v>
      </c>
      <c r="J19" s="1085"/>
      <c r="K19" s="1085">
        <v>18</v>
      </c>
      <c r="L19" s="1085"/>
      <c r="M19" s="1085"/>
      <c r="N19" s="1085">
        <v>19</v>
      </c>
      <c r="O19" s="1097"/>
      <c r="P19" s="189"/>
      <c r="Q19" s="1139"/>
    </row>
    <row r="20" spans="1:17" ht="15.75" hidden="1" customHeight="1" thickBot="1">
      <c r="A20" s="1115"/>
      <c r="B20" s="1013">
        <f>MAX('School Info'!F18:F22)</f>
        <v>2</v>
      </c>
      <c r="C20" s="1014"/>
      <c r="D20" s="1084">
        <f>'School Info'!K15</f>
        <v>2143</v>
      </c>
      <c r="E20" s="1084"/>
      <c r="F20" s="1086">
        <f>ROUND(B20*D20,10)</f>
        <v>4286</v>
      </c>
      <c r="G20" s="1086"/>
      <c r="H20" s="213" t="s">
        <v>471</v>
      </c>
      <c r="I20" s="1015"/>
      <c r="J20" s="1015"/>
      <c r="K20" s="1100" t="e">
        <f>E15+H15+L15+O15+F20+H20+I20</f>
        <v>#VALUE!</v>
      </c>
      <c r="L20" s="1100"/>
      <c r="M20" s="1100"/>
      <c r="N20" s="1098" t="e">
        <f>K20</f>
        <v>#VALUE!</v>
      </c>
      <c r="O20" s="1099"/>
      <c r="P20" s="189"/>
      <c r="Q20" s="1139"/>
    </row>
    <row r="21" spans="1:17" ht="6" customHeight="1" thickBot="1">
      <c r="A21" s="1115"/>
      <c r="B21" s="1101"/>
      <c r="C21" s="1102"/>
      <c r="D21" s="1102"/>
      <c r="E21" s="1102"/>
      <c r="F21" s="1102"/>
      <c r="G21" s="1102"/>
      <c r="H21" s="1102"/>
      <c r="I21" s="1102"/>
      <c r="J21" s="1102"/>
      <c r="K21" s="1102"/>
      <c r="L21" s="1102"/>
      <c r="M21" s="1102"/>
      <c r="N21" s="1102"/>
      <c r="O21" s="1103"/>
      <c r="P21" s="189"/>
      <c r="Q21" s="1139"/>
    </row>
    <row r="22" spans="1:17" ht="15.75" customHeight="1" thickBot="1">
      <c r="A22" s="1115"/>
      <c r="B22" s="1136" t="s">
        <v>317</v>
      </c>
      <c r="C22" s="1137"/>
      <c r="D22" s="1137"/>
      <c r="E22" s="1137"/>
      <c r="F22" s="1137"/>
      <c r="G22" s="1137"/>
      <c r="H22" s="1137"/>
      <c r="I22" s="1137"/>
      <c r="J22" s="1137"/>
      <c r="K22" s="1137"/>
      <c r="L22" s="1137"/>
      <c r="M22" s="1137"/>
      <c r="N22" s="1137"/>
      <c r="O22" s="1138"/>
      <c r="P22" s="189"/>
      <c r="Q22" s="1139"/>
    </row>
    <row r="23" spans="1:17" ht="15" customHeight="1">
      <c r="A23" s="1115"/>
      <c r="B23" s="1104" t="s">
        <v>318</v>
      </c>
      <c r="C23" s="1110" t="s">
        <v>443</v>
      </c>
      <c r="D23" s="399">
        <f>'Food-Data Entry'!D4</f>
        <v>45748</v>
      </c>
      <c r="E23" s="400">
        <f>'Food-Data Entry'!E4</f>
        <v>45748</v>
      </c>
      <c r="F23" s="1106" t="str">
        <f>'Food-Data Entry'!F4</f>
        <v>सप्लायर्स (सरकार) से माह के दौरान प्राप्त</v>
      </c>
      <c r="G23" s="1108" t="str">
        <f>'Food-Data Entry'!G4</f>
        <v>अन्य स्त्रोत से उधार लिया व दिया (+/-)</v>
      </c>
      <c r="H23" s="1108" t="str">
        <f>'Food-Data Entry'!H4</f>
        <v>राशन डीलर से उधार लिया व दिया (+/-)</v>
      </c>
      <c r="I23" s="1092" t="s">
        <v>319</v>
      </c>
      <c r="J23" s="1112"/>
      <c r="K23" s="400">
        <f>E23</f>
        <v>45748</v>
      </c>
      <c r="L23" s="1088" t="s">
        <v>320</v>
      </c>
      <c r="M23" s="1090" t="s">
        <v>321</v>
      </c>
      <c r="N23" s="1092" t="s">
        <v>322</v>
      </c>
      <c r="O23" s="1093"/>
      <c r="P23" s="189"/>
      <c r="Q23" s="1139"/>
    </row>
    <row r="24" spans="1:17" ht="30.75" customHeight="1">
      <c r="A24" s="1115"/>
      <c r="B24" s="1105"/>
      <c r="C24" s="1111"/>
      <c r="D24" s="394" t="str">
        <f>'Food-Data Entry'!D5</f>
        <v>को शेष</v>
      </c>
      <c r="E24" s="395" t="str">
        <f>'Food-Data Entry'!E5</f>
        <v>से गत माह के अंत तक प्राप्त</v>
      </c>
      <c r="F24" s="1107"/>
      <c r="G24" s="1109"/>
      <c r="H24" s="1109"/>
      <c r="I24" s="1094"/>
      <c r="J24" s="1113"/>
      <c r="K24" s="396" t="str">
        <f>'Food-Data Entry'!J5</f>
        <v>से गत माह तक व्यय</v>
      </c>
      <c r="L24" s="1089"/>
      <c r="M24" s="1091"/>
      <c r="N24" s="1094"/>
      <c r="O24" s="1095"/>
      <c r="P24" s="189"/>
      <c r="Q24" s="1139"/>
    </row>
    <row r="25" spans="1:17" ht="12" customHeight="1" thickBot="1">
      <c r="A25" s="1115"/>
      <c r="B25" s="401">
        <v>1</v>
      </c>
      <c r="C25" s="1070">
        <v>2</v>
      </c>
      <c r="D25" s="1070"/>
      <c r="E25" s="402">
        <v>3</v>
      </c>
      <c r="F25" s="402">
        <v>4</v>
      </c>
      <c r="G25" s="402">
        <v>5</v>
      </c>
      <c r="H25" s="402">
        <v>6</v>
      </c>
      <c r="I25" s="1070">
        <v>7</v>
      </c>
      <c r="J25" s="1070"/>
      <c r="K25" s="402">
        <v>8</v>
      </c>
      <c r="L25" s="402">
        <v>9</v>
      </c>
      <c r="M25" s="402">
        <v>10</v>
      </c>
      <c r="N25" s="1070">
        <v>11</v>
      </c>
      <c r="O25" s="1073"/>
      <c r="P25" s="189"/>
      <c r="Q25" s="1139"/>
    </row>
    <row r="26" spans="1:17" ht="15.75" customHeight="1">
      <c r="A26" s="1115"/>
      <c r="B26" s="397" t="s">
        <v>254</v>
      </c>
      <c r="C26" s="398" t="s">
        <v>141</v>
      </c>
      <c r="D26" s="538">
        <f>'Food-Data Entry'!D10</f>
        <v>500</v>
      </c>
      <c r="E26" s="539">
        <f>'Food-Data Entry'!E10</f>
        <v>0</v>
      </c>
      <c r="F26" s="540">
        <f>'Food-Data Entry'!F10</f>
        <v>0</v>
      </c>
      <c r="G26" s="541">
        <f>'Food-Data Entry'!G10</f>
        <v>0</v>
      </c>
      <c r="H26" s="538">
        <f>'Food-Data Entry'!H10</f>
        <v>0</v>
      </c>
      <c r="I26" s="974">
        <f>D26+E26+F26+G26+H26</f>
        <v>500</v>
      </c>
      <c r="J26" s="974"/>
      <c r="K26" s="538">
        <f>'Food-Data Entry'!J10</f>
        <v>0</v>
      </c>
      <c r="L26" s="538">
        <f>'Food-Data Entry'!AW38</f>
        <v>53.6</v>
      </c>
      <c r="M26" s="542">
        <f>K26+L26</f>
        <v>53.6</v>
      </c>
      <c r="N26" s="974">
        <f>I26-M26</f>
        <v>446.4</v>
      </c>
      <c r="O26" s="975"/>
      <c r="P26" s="189"/>
      <c r="Q26" s="1139"/>
    </row>
    <row r="27" spans="1:17" ht="15.75" customHeight="1">
      <c r="A27" s="1115"/>
      <c r="B27" s="385" t="s">
        <v>254</v>
      </c>
      <c r="C27" s="376" t="s">
        <v>142</v>
      </c>
      <c r="D27" s="543">
        <f>'Food-Data Entry'!D11</f>
        <v>100</v>
      </c>
      <c r="E27" s="543">
        <f>'Food-Data Entry'!E11</f>
        <v>0</v>
      </c>
      <c r="F27" s="538">
        <f>'Food-Data Entry'!F11</f>
        <v>0</v>
      </c>
      <c r="G27" s="543">
        <f>'Food-Data Entry'!G11</f>
        <v>0</v>
      </c>
      <c r="H27" s="543">
        <f>'Food-Data Entry'!H11</f>
        <v>0</v>
      </c>
      <c r="I27" s="1067">
        <f t="shared" ref="I27:I29" si="0">D27+E27+F27+G27+H27</f>
        <v>100</v>
      </c>
      <c r="J27" s="1067"/>
      <c r="K27" s="543">
        <f>'Food-Data Entry'!J11</f>
        <v>0</v>
      </c>
      <c r="L27" s="543">
        <f>'Food-Data Entry'!AX38</f>
        <v>20</v>
      </c>
      <c r="M27" s="544">
        <f t="shared" ref="M27:M29" si="1">K27+L27</f>
        <v>20</v>
      </c>
      <c r="N27" s="1067">
        <f t="shared" ref="N27:N29" si="2">I27-M27</f>
        <v>80</v>
      </c>
      <c r="O27" s="1068"/>
      <c r="P27" s="189"/>
      <c r="Q27" s="1139"/>
    </row>
    <row r="28" spans="1:17" ht="15.75" customHeight="1">
      <c r="A28" s="1115"/>
      <c r="B28" s="385" t="s">
        <v>255</v>
      </c>
      <c r="C28" s="376" t="s">
        <v>141</v>
      </c>
      <c r="D28" s="543">
        <f>'Food-Data Entry'!D12</f>
        <v>31.7</v>
      </c>
      <c r="E28" s="543">
        <f>'Food-Data Entry'!E12</f>
        <v>275</v>
      </c>
      <c r="F28" s="543">
        <f>'Food-Data Entry'!F12</f>
        <v>0</v>
      </c>
      <c r="G28" s="543">
        <f>'Food-Data Entry'!G12</f>
        <v>0</v>
      </c>
      <c r="H28" s="543">
        <f>'Food-Data Entry'!H12</f>
        <v>0</v>
      </c>
      <c r="I28" s="1067">
        <f t="shared" si="0"/>
        <v>306.7</v>
      </c>
      <c r="J28" s="1067"/>
      <c r="K28" s="543">
        <f>'Food-Data Entry'!J12</f>
        <v>0</v>
      </c>
      <c r="L28" s="543">
        <f>'Food-Data Entry'!AY38</f>
        <v>30.600000000000009</v>
      </c>
      <c r="M28" s="544">
        <f t="shared" si="1"/>
        <v>30.600000000000009</v>
      </c>
      <c r="N28" s="1067">
        <f t="shared" si="2"/>
        <v>276.09999999999997</v>
      </c>
      <c r="O28" s="1068"/>
      <c r="P28" s="189"/>
      <c r="Q28" s="1139"/>
    </row>
    <row r="29" spans="1:17" ht="15.75" customHeight="1" thickBot="1">
      <c r="A29" s="1115"/>
      <c r="B29" s="388" t="s">
        <v>255</v>
      </c>
      <c r="C29" s="389" t="s">
        <v>142</v>
      </c>
      <c r="D29" s="545">
        <f>'Food-Data Entry'!D13</f>
        <v>95.7</v>
      </c>
      <c r="E29" s="545">
        <f>'Food-Data Entry'!E13</f>
        <v>132</v>
      </c>
      <c r="F29" s="545">
        <f>'Food-Data Entry'!F13</f>
        <v>0</v>
      </c>
      <c r="G29" s="545">
        <f>'Food-Data Entry'!G13</f>
        <v>0</v>
      </c>
      <c r="H29" s="545">
        <f>'Food-Data Entry'!H13</f>
        <v>0</v>
      </c>
      <c r="I29" s="1071">
        <f t="shared" si="0"/>
        <v>227.7</v>
      </c>
      <c r="J29" s="1071"/>
      <c r="K29" s="545">
        <f>'Food-Data Entry'!J13</f>
        <v>0</v>
      </c>
      <c r="L29" s="545">
        <f>'Food-Data Entry'!AZ38</f>
        <v>14.400000000000002</v>
      </c>
      <c r="M29" s="546">
        <f t="shared" si="1"/>
        <v>14.400000000000002</v>
      </c>
      <c r="N29" s="1071">
        <f t="shared" si="2"/>
        <v>213.29999999999998</v>
      </c>
      <c r="O29" s="1074"/>
      <c r="P29" s="189"/>
      <c r="Q29" s="1139"/>
    </row>
    <row r="30" spans="1:17" ht="15.75" customHeight="1">
      <c r="A30" s="1115"/>
      <c r="B30" s="1076" t="s">
        <v>130</v>
      </c>
      <c r="C30" s="390" t="s">
        <v>141</v>
      </c>
      <c r="D30" s="547">
        <f>D26+D28</f>
        <v>531.70000000000005</v>
      </c>
      <c r="E30" s="547">
        <f t="shared" ref="E30:H30" si="3">E26+E28</f>
        <v>275</v>
      </c>
      <c r="F30" s="547">
        <f t="shared" si="3"/>
        <v>0</v>
      </c>
      <c r="G30" s="547">
        <f t="shared" si="3"/>
        <v>0</v>
      </c>
      <c r="H30" s="547">
        <f t="shared" si="3"/>
        <v>0</v>
      </c>
      <c r="I30" s="1080">
        <f>I26+I28</f>
        <v>806.7</v>
      </c>
      <c r="J30" s="1081"/>
      <c r="K30" s="547">
        <f t="shared" ref="K30:M30" si="4">K26+K28</f>
        <v>0</v>
      </c>
      <c r="L30" s="547">
        <f t="shared" si="4"/>
        <v>84.200000000000017</v>
      </c>
      <c r="M30" s="547">
        <f t="shared" si="4"/>
        <v>84.200000000000017</v>
      </c>
      <c r="N30" s="1080">
        <f>N26+N28</f>
        <v>722.5</v>
      </c>
      <c r="O30" s="1082"/>
      <c r="P30" s="189"/>
      <c r="Q30" s="1139"/>
    </row>
    <row r="31" spans="1:17" ht="15.75" customHeight="1" thickBot="1">
      <c r="A31" s="1115"/>
      <c r="B31" s="1077"/>
      <c r="C31" s="391" t="s">
        <v>142</v>
      </c>
      <c r="D31" s="548">
        <f>D27+D29</f>
        <v>195.7</v>
      </c>
      <c r="E31" s="548">
        <f t="shared" ref="E31:H31" si="5">E27+E29</f>
        <v>132</v>
      </c>
      <c r="F31" s="548">
        <f t="shared" si="5"/>
        <v>0</v>
      </c>
      <c r="G31" s="548">
        <f t="shared" si="5"/>
        <v>0</v>
      </c>
      <c r="H31" s="548">
        <f t="shared" si="5"/>
        <v>0</v>
      </c>
      <c r="I31" s="1007">
        <f>I27+I29</f>
        <v>327.7</v>
      </c>
      <c r="J31" s="1007"/>
      <c r="K31" s="548">
        <f t="shared" ref="K31:M31" si="6">K27+K29</f>
        <v>0</v>
      </c>
      <c r="L31" s="549">
        <f t="shared" si="6"/>
        <v>34.400000000000006</v>
      </c>
      <c r="M31" s="549">
        <f t="shared" si="6"/>
        <v>34.400000000000006</v>
      </c>
      <c r="N31" s="1007">
        <f>N27+N29</f>
        <v>293.29999999999995</v>
      </c>
      <c r="O31" s="1069"/>
      <c r="P31" s="189"/>
      <c r="Q31" s="1139"/>
    </row>
    <row r="32" spans="1:17" ht="15.75" customHeight="1">
      <c r="A32" s="1115"/>
      <c r="B32" s="384" t="s">
        <v>254</v>
      </c>
      <c r="C32" s="392" t="s">
        <v>201</v>
      </c>
      <c r="D32" s="550">
        <f>'MIlk-Data Entry'!D10</f>
        <v>50</v>
      </c>
      <c r="E32" s="550">
        <f>'MIlk-Data Entry'!E10</f>
        <v>0</v>
      </c>
      <c r="F32" s="550">
        <f>'MIlk-Data Entry'!F10</f>
        <v>0</v>
      </c>
      <c r="G32" s="550">
        <f>'MIlk-Data Entry'!G10</f>
        <v>0</v>
      </c>
      <c r="H32" s="550">
        <f>'MIlk-Data Entry'!H10</f>
        <v>0</v>
      </c>
      <c r="I32" s="1072">
        <f>D32+E32+F32+G32+H32</f>
        <v>50</v>
      </c>
      <c r="J32" s="1072"/>
      <c r="K32" s="550">
        <f>'MIlk-Data Entry'!J10</f>
        <v>0</v>
      </c>
      <c r="L32" s="550">
        <f>'Milk Stock &amp; Distri.Register'!AF75</f>
        <v>0.45</v>
      </c>
      <c r="M32" s="551">
        <f t="shared" ref="M32:M35" si="7">K32+L32</f>
        <v>0.45</v>
      </c>
      <c r="N32" s="1072">
        <f>I32-M32</f>
        <v>49.55</v>
      </c>
      <c r="O32" s="1075"/>
      <c r="P32" s="189"/>
      <c r="Q32" s="1139"/>
    </row>
    <row r="33" spans="1:17" ht="15.75" customHeight="1">
      <c r="A33" s="1115"/>
      <c r="B33" s="385" t="s">
        <v>254</v>
      </c>
      <c r="C33" s="377" t="s">
        <v>202</v>
      </c>
      <c r="D33" s="543">
        <f>'MIlk-Data Entry'!D12</f>
        <v>30</v>
      </c>
      <c r="E33" s="543">
        <f>'MIlk-Data Entry'!E12</f>
        <v>0</v>
      </c>
      <c r="F33" s="543">
        <f>'MIlk-Data Entry'!F12</f>
        <v>0</v>
      </c>
      <c r="G33" s="543">
        <f>'MIlk-Data Entry'!G12</f>
        <v>0</v>
      </c>
      <c r="H33" s="543">
        <f>'MIlk-Data Entry'!H12</f>
        <v>0</v>
      </c>
      <c r="I33" s="974">
        <f t="shared" ref="I33" si="8">D33+E33+F33+G33+H33</f>
        <v>30</v>
      </c>
      <c r="J33" s="974"/>
      <c r="K33" s="543">
        <f>'MIlk-Data Entry'!J12</f>
        <v>0</v>
      </c>
      <c r="L33" s="543">
        <f>'Milk Stock &amp; Distri.Register'!AL75</f>
        <v>0.252</v>
      </c>
      <c r="M33" s="542">
        <f t="shared" si="7"/>
        <v>0.252</v>
      </c>
      <c r="N33" s="974">
        <f>I33-M33</f>
        <v>29.748000000000001</v>
      </c>
      <c r="O33" s="975"/>
      <c r="P33" s="189"/>
      <c r="Q33" s="1139"/>
    </row>
    <row r="34" spans="1:17" ht="12.75" customHeight="1">
      <c r="A34" s="1115"/>
      <c r="B34" s="385" t="s">
        <v>255</v>
      </c>
      <c r="C34" s="377" t="s">
        <v>201</v>
      </c>
      <c r="D34" s="538">
        <f>'MIlk-Data Entry'!D11</f>
        <v>70</v>
      </c>
      <c r="E34" s="538">
        <f>'MIlk-Data Entry'!E11</f>
        <v>0</v>
      </c>
      <c r="F34" s="538">
        <f>'MIlk-Data Entry'!F11</f>
        <v>0</v>
      </c>
      <c r="G34" s="538">
        <f>'MIlk-Data Entry'!G11</f>
        <v>0</v>
      </c>
      <c r="H34" s="538">
        <f>'MIlk-Data Entry'!H11</f>
        <v>0</v>
      </c>
      <c r="I34" s="974">
        <f t="shared" ref="I34" si="9">D34+E34+F34+G34+H34</f>
        <v>70</v>
      </c>
      <c r="J34" s="974"/>
      <c r="K34" s="543">
        <f>'MIlk-Data Entry'!J11</f>
        <v>0</v>
      </c>
      <c r="L34" s="543">
        <f>'Milk Stock &amp; Distri.Register'!AF76</f>
        <v>0.24</v>
      </c>
      <c r="M34" s="542">
        <f t="shared" si="7"/>
        <v>0.24</v>
      </c>
      <c r="N34" s="1067">
        <f>I34-M34</f>
        <v>69.760000000000005</v>
      </c>
      <c r="O34" s="1068"/>
      <c r="P34" s="189"/>
      <c r="Q34" s="1139"/>
    </row>
    <row r="35" spans="1:17" ht="12.75" customHeight="1" thickBot="1">
      <c r="A35" s="1115"/>
      <c r="B35" s="386" t="s">
        <v>255</v>
      </c>
      <c r="C35" s="387" t="s">
        <v>202</v>
      </c>
      <c r="D35" s="552">
        <f>'MIlk-Data Entry'!D13</f>
        <v>40</v>
      </c>
      <c r="E35" s="552">
        <f>'MIlk-Data Entry'!E13</f>
        <v>0</v>
      </c>
      <c r="F35" s="552">
        <f>'MIlk-Data Entry'!F13</f>
        <v>0</v>
      </c>
      <c r="G35" s="552">
        <f>'MIlk-Data Entry'!G13</f>
        <v>0</v>
      </c>
      <c r="H35" s="552">
        <f>'MIlk-Data Entry'!H13</f>
        <v>0</v>
      </c>
      <c r="I35" s="973">
        <f t="shared" ref="I35" si="10">D35+E35+F35+G35+H35</f>
        <v>40</v>
      </c>
      <c r="J35" s="973"/>
      <c r="K35" s="552">
        <f>'MIlk-Data Entry'!J13</f>
        <v>0</v>
      </c>
      <c r="L35" s="552">
        <f>'Milk Stock &amp; Distri.Register'!AL76</f>
        <v>0.12239999999999999</v>
      </c>
      <c r="M35" s="553">
        <f t="shared" si="7"/>
        <v>0.12239999999999999</v>
      </c>
      <c r="N35" s="976">
        <f>I35-M35</f>
        <v>39.877600000000001</v>
      </c>
      <c r="O35" s="977"/>
      <c r="P35" s="189"/>
      <c r="Q35" s="1139"/>
    </row>
    <row r="36" spans="1:17" ht="12.75" customHeight="1">
      <c r="A36" s="1115"/>
      <c r="B36" s="1078" t="s">
        <v>130</v>
      </c>
      <c r="C36" s="383" t="s">
        <v>201</v>
      </c>
      <c r="D36" s="554">
        <f>D32+D34</f>
        <v>120</v>
      </c>
      <c r="E36" s="554">
        <f t="shared" ref="E36:H36" si="11">E32+E34</f>
        <v>0</v>
      </c>
      <c r="F36" s="554">
        <f t="shared" si="11"/>
        <v>0</v>
      </c>
      <c r="G36" s="554">
        <f t="shared" si="11"/>
        <v>0</v>
      </c>
      <c r="H36" s="554">
        <f t="shared" si="11"/>
        <v>0</v>
      </c>
      <c r="I36" s="1035">
        <f>I32+I34</f>
        <v>120</v>
      </c>
      <c r="J36" s="1083"/>
      <c r="K36" s="555">
        <f t="shared" ref="K36:M36" si="12">K32+K34</f>
        <v>0</v>
      </c>
      <c r="L36" s="555">
        <f t="shared" si="12"/>
        <v>0.69</v>
      </c>
      <c r="M36" s="555">
        <f t="shared" si="12"/>
        <v>0.69</v>
      </c>
      <c r="N36" s="1035">
        <f>N32+N34</f>
        <v>119.31</v>
      </c>
      <c r="O36" s="1036"/>
      <c r="P36" s="189"/>
      <c r="Q36" s="1139"/>
    </row>
    <row r="37" spans="1:17" ht="13.5" customHeight="1" thickBot="1">
      <c r="A37" s="1115"/>
      <c r="B37" s="1079"/>
      <c r="C37" s="382" t="s">
        <v>202</v>
      </c>
      <c r="D37" s="556">
        <f>D33+D35</f>
        <v>70</v>
      </c>
      <c r="E37" s="556">
        <f t="shared" ref="E37:H37" si="13">E33+E35</f>
        <v>0</v>
      </c>
      <c r="F37" s="556">
        <f t="shared" si="13"/>
        <v>0</v>
      </c>
      <c r="G37" s="556">
        <f t="shared" si="13"/>
        <v>0</v>
      </c>
      <c r="H37" s="556">
        <f t="shared" si="13"/>
        <v>0</v>
      </c>
      <c r="I37" s="1007">
        <f>I33+I35</f>
        <v>70</v>
      </c>
      <c r="J37" s="1007"/>
      <c r="K37" s="548">
        <f t="shared" ref="K37:M37" si="14">K33+K35</f>
        <v>0</v>
      </c>
      <c r="L37" s="549">
        <f t="shared" si="14"/>
        <v>0.37440000000000001</v>
      </c>
      <c r="M37" s="549">
        <f t="shared" si="14"/>
        <v>0.37440000000000001</v>
      </c>
      <c r="N37" s="1007">
        <f>N33+N35</f>
        <v>69.625600000000006</v>
      </c>
      <c r="O37" s="1069"/>
      <c r="P37" s="189"/>
      <c r="Q37" s="1139"/>
    </row>
    <row r="38" spans="1:17" ht="18" customHeight="1">
      <c r="A38" s="1115"/>
      <c r="B38" s="1028" t="s">
        <v>326</v>
      </c>
      <c r="C38" s="1029"/>
      <c r="D38" s="1029"/>
      <c r="E38" s="1029"/>
      <c r="F38" s="1029"/>
      <c r="G38" s="1029"/>
      <c r="H38" s="1029"/>
      <c r="I38" s="1029"/>
      <c r="J38" s="1029"/>
      <c r="K38" s="1029"/>
      <c r="L38" s="1029"/>
      <c r="M38" s="1029"/>
      <c r="N38" s="1029"/>
      <c r="O38" s="1030"/>
      <c r="P38" s="189"/>
      <c r="Q38" s="1139"/>
    </row>
    <row r="39" spans="1:17" ht="19.5" customHeight="1">
      <c r="A39" s="1115"/>
      <c r="B39" s="1031" t="s">
        <v>323</v>
      </c>
      <c r="C39" s="1008"/>
      <c r="D39" s="1008"/>
      <c r="E39" s="1008"/>
      <c r="F39" s="1008" t="s">
        <v>324</v>
      </c>
      <c r="G39" s="1008"/>
      <c r="H39" s="1008"/>
      <c r="I39" s="1008"/>
      <c r="J39" s="1011" t="s">
        <v>121</v>
      </c>
      <c r="K39" s="1008" t="s">
        <v>327</v>
      </c>
      <c r="L39" s="1008"/>
      <c r="M39" s="1008"/>
      <c r="N39" s="1032" t="s">
        <v>325</v>
      </c>
      <c r="O39" s="1033"/>
      <c r="P39" s="189"/>
      <c r="Q39" s="1139"/>
    </row>
    <row r="40" spans="1:17" ht="13.5" customHeight="1">
      <c r="A40" s="1115"/>
      <c r="B40" s="214" t="s">
        <v>20</v>
      </c>
      <c r="C40" s="200" t="s">
        <v>21</v>
      </c>
      <c r="D40" s="200" t="s">
        <v>22</v>
      </c>
      <c r="E40" s="200" t="s">
        <v>23</v>
      </c>
      <c r="F40" s="200" t="s">
        <v>20</v>
      </c>
      <c r="G40" s="200" t="s">
        <v>21</v>
      </c>
      <c r="H40" s="200" t="s">
        <v>22</v>
      </c>
      <c r="I40" s="200" t="s">
        <v>23</v>
      </c>
      <c r="J40" s="1011"/>
      <c r="K40" s="1034" t="s">
        <v>21</v>
      </c>
      <c r="L40" s="1034"/>
      <c r="M40" s="1034"/>
      <c r="N40" s="1060">
        <f>COUNTIF('School Info'!$J$18:$J$22,"SC")</f>
        <v>1</v>
      </c>
      <c r="O40" s="1061"/>
      <c r="P40" s="189"/>
      <c r="Q40" s="1139"/>
    </row>
    <row r="41" spans="1:17" ht="12" customHeight="1">
      <c r="A41" s="1115"/>
      <c r="B41" s="1066">
        <f>'Food-Data Entry'!B17</f>
        <v>0</v>
      </c>
      <c r="C41" s="1018">
        <f>'Food-Data Entry'!C17</f>
        <v>0</v>
      </c>
      <c r="D41" s="1018">
        <f>'Food-Data Entry'!D17</f>
        <v>0</v>
      </c>
      <c r="E41" s="1009">
        <f>SUM(B41:D43)</f>
        <v>0</v>
      </c>
      <c r="F41" s="1018">
        <f>'Food-Data Entry'!F17</f>
        <v>0</v>
      </c>
      <c r="G41" s="1018">
        <f>'Food-Data Entry'!G17</f>
        <v>0</v>
      </c>
      <c r="H41" s="1018">
        <f>'Food-Data Entry'!H17</f>
        <v>0</v>
      </c>
      <c r="I41" s="1009">
        <f>SUM(F41:H43)</f>
        <v>0</v>
      </c>
      <c r="J41" s="1009">
        <f>E41+I41</f>
        <v>0</v>
      </c>
      <c r="K41" s="1034" t="s">
        <v>22</v>
      </c>
      <c r="L41" s="1034"/>
      <c r="M41" s="1034"/>
      <c r="N41" s="1060">
        <f>COUNTIF('School Info'!$J$18:$J$22,"ST")</f>
        <v>0</v>
      </c>
      <c r="O41" s="1061"/>
      <c r="P41" s="189"/>
      <c r="Q41" s="1139"/>
    </row>
    <row r="42" spans="1:17" ht="13.5" customHeight="1">
      <c r="A42" s="1115"/>
      <c r="B42" s="1066"/>
      <c r="C42" s="1018"/>
      <c r="D42" s="1018"/>
      <c r="E42" s="1037"/>
      <c r="F42" s="1018"/>
      <c r="G42" s="1018"/>
      <c r="H42" s="1018"/>
      <c r="I42" s="1009"/>
      <c r="J42" s="1009"/>
      <c r="K42" s="1034" t="s">
        <v>20</v>
      </c>
      <c r="L42" s="1034"/>
      <c r="M42" s="1034"/>
      <c r="N42" s="1062">
        <f>B20-N40-N41</f>
        <v>1</v>
      </c>
      <c r="O42" s="1061"/>
      <c r="P42" s="189"/>
      <c r="Q42" s="1139"/>
    </row>
    <row r="43" spans="1:17" ht="13.5" customHeight="1" thickBot="1">
      <c r="A43" s="1115"/>
      <c r="B43" s="1013"/>
      <c r="C43" s="1014"/>
      <c r="D43" s="1014"/>
      <c r="E43" s="1038"/>
      <c r="F43" s="1014"/>
      <c r="G43" s="1014"/>
      <c r="H43" s="1014"/>
      <c r="I43" s="1010"/>
      <c r="J43" s="1010"/>
      <c r="K43" s="1063" t="s">
        <v>23</v>
      </c>
      <c r="L43" s="1063"/>
      <c r="M43" s="1063"/>
      <c r="N43" s="1064">
        <f>SUM(N40:O42)</f>
        <v>2</v>
      </c>
      <c r="O43" s="1065"/>
      <c r="P43" s="189"/>
      <c r="Q43" s="1139"/>
    </row>
    <row r="44" spans="1:17" ht="15.75" customHeight="1">
      <c r="A44" s="1115"/>
      <c r="B44" s="1020" t="s">
        <v>374</v>
      </c>
      <c r="C44" s="1021"/>
      <c r="D44" s="1021"/>
      <c r="E44" s="1021"/>
      <c r="F44" s="1021"/>
      <c r="G44" s="1021"/>
      <c r="H44" s="1021"/>
      <c r="I44" s="1021"/>
      <c r="J44" s="1021"/>
      <c r="K44" s="1021"/>
      <c r="L44" s="1021"/>
      <c r="M44" s="1021"/>
      <c r="N44" s="1021"/>
      <c r="O44" s="1022"/>
      <c r="P44" s="189"/>
      <c r="Q44" s="1139"/>
    </row>
    <row r="45" spans="1:17" ht="16.5" customHeight="1">
      <c r="A45" s="1115"/>
      <c r="B45" s="1023" t="s">
        <v>329</v>
      </c>
      <c r="C45" s="1024"/>
      <c r="D45" s="1024" t="s">
        <v>330</v>
      </c>
      <c r="E45" s="1024"/>
      <c r="F45" s="1024"/>
      <c r="G45" s="1024" t="s">
        <v>270</v>
      </c>
      <c r="H45" s="1024"/>
      <c r="I45" s="1027" t="s">
        <v>331</v>
      </c>
      <c r="J45" s="1027"/>
      <c r="K45" s="1027"/>
      <c r="L45" s="1025" t="s">
        <v>332</v>
      </c>
      <c r="M45" s="1025"/>
      <c r="N45" s="1025"/>
      <c r="O45" s="1026"/>
      <c r="P45" s="189"/>
      <c r="Q45" s="1139"/>
    </row>
    <row r="46" spans="1:17" ht="18" customHeight="1">
      <c r="A46" s="1115"/>
      <c r="B46" s="1016">
        <f>'School Info'!F18</f>
        <v>1</v>
      </c>
      <c r="C46" s="1017"/>
      <c r="D46" s="1012" t="str">
        <f>'School Info'!G18</f>
        <v>Bhanwari Devi</v>
      </c>
      <c r="E46" s="1012"/>
      <c r="F46" s="1012"/>
      <c r="G46" s="1012" t="str">
        <f>'School Info'!I18</f>
        <v>Female</v>
      </c>
      <c r="H46" s="1012"/>
      <c r="I46" s="1012" t="str">
        <f>'School Info'!J18</f>
        <v>OBC</v>
      </c>
      <c r="J46" s="1012"/>
      <c r="K46" s="1012"/>
      <c r="L46" s="1018">
        <f>'School Info'!K18</f>
        <v>0</v>
      </c>
      <c r="M46" s="1018"/>
      <c r="N46" s="1018"/>
      <c r="O46" s="1019"/>
      <c r="P46" s="189"/>
      <c r="Q46" s="1139"/>
    </row>
    <row r="47" spans="1:17" ht="18" customHeight="1">
      <c r="A47" s="1115"/>
      <c r="B47" s="1016">
        <f>'School Info'!F19</f>
        <v>2</v>
      </c>
      <c r="C47" s="1017"/>
      <c r="D47" s="1012" t="str">
        <f>'School Info'!G19</f>
        <v>Devi</v>
      </c>
      <c r="E47" s="1012"/>
      <c r="F47" s="1012"/>
      <c r="G47" s="1012" t="str">
        <f>'School Info'!I19</f>
        <v>Female</v>
      </c>
      <c r="H47" s="1012"/>
      <c r="I47" s="1012" t="str">
        <f>'School Info'!J19</f>
        <v>SC</v>
      </c>
      <c r="J47" s="1012"/>
      <c r="K47" s="1012"/>
      <c r="L47" s="1018">
        <f>'School Info'!K19</f>
        <v>0</v>
      </c>
      <c r="M47" s="1018"/>
      <c r="N47" s="1018"/>
      <c r="O47" s="1019"/>
      <c r="P47" s="189"/>
      <c r="Q47" s="1139"/>
    </row>
    <row r="48" spans="1:17" ht="18" customHeight="1">
      <c r="A48" s="1115"/>
      <c r="B48" s="1016">
        <f>'School Info'!F20</f>
        <v>0</v>
      </c>
      <c r="C48" s="1017"/>
      <c r="D48" s="1012">
        <f>'School Info'!G20</f>
        <v>0</v>
      </c>
      <c r="E48" s="1012"/>
      <c r="F48" s="1012"/>
      <c r="G48" s="1012">
        <f>'School Info'!I20</f>
        <v>0</v>
      </c>
      <c r="H48" s="1012"/>
      <c r="I48" s="1012">
        <f>'School Info'!J20</f>
        <v>0</v>
      </c>
      <c r="J48" s="1012"/>
      <c r="K48" s="1012"/>
      <c r="L48" s="1018">
        <f>'School Info'!K20</f>
        <v>0</v>
      </c>
      <c r="M48" s="1018"/>
      <c r="N48" s="1018"/>
      <c r="O48" s="1019"/>
      <c r="P48" s="189"/>
      <c r="Q48" s="1139"/>
    </row>
    <row r="49" spans="1:17" ht="18" customHeight="1">
      <c r="A49" s="1115"/>
      <c r="B49" s="1016">
        <f>'School Info'!F21</f>
        <v>0</v>
      </c>
      <c r="C49" s="1017"/>
      <c r="D49" s="1012">
        <f>'School Info'!G21</f>
        <v>0</v>
      </c>
      <c r="E49" s="1012"/>
      <c r="F49" s="1012"/>
      <c r="G49" s="1012">
        <f>'School Info'!I21</f>
        <v>0</v>
      </c>
      <c r="H49" s="1012"/>
      <c r="I49" s="1012">
        <f>'School Info'!J21</f>
        <v>0</v>
      </c>
      <c r="J49" s="1012"/>
      <c r="K49" s="1012"/>
      <c r="L49" s="1018">
        <f>'School Info'!K21</f>
        <v>0</v>
      </c>
      <c r="M49" s="1018"/>
      <c r="N49" s="1018"/>
      <c r="O49" s="1019"/>
      <c r="P49" s="189"/>
      <c r="Q49" s="1139"/>
    </row>
    <row r="50" spans="1:17" ht="18" customHeight="1" thickBot="1">
      <c r="A50" s="1115"/>
      <c r="B50" s="1016">
        <f>'School Info'!F22</f>
        <v>0</v>
      </c>
      <c r="C50" s="1017"/>
      <c r="D50" s="1012">
        <f>'School Info'!G22</f>
        <v>0</v>
      </c>
      <c r="E50" s="1012"/>
      <c r="F50" s="1012"/>
      <c r="G50" s="1012">
        <f>'School Info'!I22</f>
        <v>0</v>
      </c>
      <c r="H50" s="1012"/>
      <c r="I50" s="1012">
        <f>'School Info'!J22</f>
        <v>0</v>
      </c>
      <c r="J50" s="1012"/>
      <c r="K50" s="1012"/>
      <c r="L50" s="1018">
        <f>'School Info'!K22</f>
        <v>0</v>
      </c>
      <c r="M50" s="1018"/>
      <c r="N50" s="1018"/>
      <c r="O50" s="1019"/>
      <c r="P50" s="189"/>
      <c r="Q50" s="1139"/>
    </row>
    <row r="51" spans="1:17" s="191" customFormat="1" ht="15.75" customHeight="1">
      <c r="A51" s="1115"/>
      <c r="B51" s="1051" t="s">
        <v>334</v>
      </c>
      <c r="C51" s="1052"/>
      <c r="D51" s="1052"/>
      <c r="E51" s="1052"/>
      <c r="F51" s="1052"/>
      <c r="G51" s="1052" t="s">
        <v>333</v>
      </c>
      <c r="H51" s="1052"/>
      <c r="I51" s="1052"/>
      <c r="J51" s="1052"/>
      <c r="K51" s="1052"/>
      <c r="L51" s="1052"/>
      <c r="M51" s="1052"/>
      <c r="N51" s="1052"/>
      <c r="O51" s="1053"/>
      <c r="P51" s="393"/>
      <c r="Q51" s="1139"/>
    </row>
    <row r="52" spans="1:17" ht="15" customHeight="1">
      <c r="A52" s="1115"/>
      <c r="B52" s="1054" t="s">
        <v>335</v>
      </c>
      <c r="C52" s="1011"/>
      <c r="D52" s="1011"/>
      <c r="E52" s="1011"/>
      <c r="F52" s="1011"/>
      <c r="G52" s="1055" t="s">
        <v>341</v>
      </c>
      <c r="H52" s="1055"/>
      <c r="I52" s="1027" t="s">
        <v>343</v>
      </c>
      <c r="J52" s="1056" t="s">
        <v>344</v>
      </c>
      <c r="K52" s="1056"/>
      <c r="L52" s="1058" t="s">
        <v>345</v>
      </c>
      <c r="M52" s="1058"/>
      <c r="N52" s="1058"/>
      <c r="O52" s="1059"/>
      <c r="P52" s="189"/>
      <c r="Q52" s="1139"/>
    </row>
    <row r="53" spans="1:17" ht="15" customHeight="1">
      <c r="A53" s="1115"/>
      <c r="B53" s="1031" t="s">
        <v>336</v>
      </c>
      <c r="C53" s="1008"/>
      <c r="D53" s="1008"/>
      <c r="E53" s="1008"/>
      <c r="F53" s="201"/>
      <c r="G53" s="1057" t="str">
        <f>'Food-Data Entry'!AM3</f>
        <v>November-2025</v>
      </c>
      <c r="H53" s="1057"/>
      <c r="I53" s="1027"/>
      <c r="J53" s="1056"/>
      <c r="K53" s="1056"/>
      <c r="L53" s="1058"/>
      <c r="M53" s="1058"/>
      <c r="N53" s="1058"/>
      <c r="O53" s="1059"/>
      <c r="P53" s="189"/>
      <c r="Q53" s="1139"/>
    </row>
    <row r="54" spans="1:17" ht="15" customHeight="1">
      <c r="A54" s="1115"/>
      <c r="B54" s="1031" t="s">
        <v>337</v>
      </c>
      <c r="C54" s="1008"/>
      <c r="D54" s="1008"/>
      <c r="E54" s="1008"/>
      <c r="F54" s="201"/>
      <c r="G54" s="1027" t="s">
        <v>342</v>
      </c>
      <c r="H54" s="1027"/>
      <c r="I54" s="1027"/>
      <c r="J54" s="1056"/>
      <c r="K54" s="1056"/>
      <c r="L54" s="1058"/>
      <c r="M54" s="1058"/>
      <c r="N54" s="1058"/>
      <c r="O54" s="1059"/>
      <c r="P54" s="189"/>
      <c r="Q54" s="1139"/>
    </row>
    <row r="55" spans="1:17" ht="15" customHeight="1">
      <c r="A55" s="1115"/>
      <c r="B55" s="1031" t="s">
        <v>338</v>
      </c>
      <c r="C55" s="1008"/>
      <c r="D55" s="1008"/>
      <c r="E55" s="1008"/>
      <c r="F55" s="201"/>
      <c r="G55" s="1050"/>
      <c r="H55" s="1050"/>
      <c r="I55" s="202"/>
      <c r="J55" s="1050">
        <f>G55+I55</f>
        <v>0</v>
      </c>
      <c r="K55" s="1050"/>
      <c r="L55" s="998" t="s">
        <v>346</v>
      </c>
      <c r="M55" s="998"/>
      <c r="N55" s="998"/>
      <c r="O55" s="999"/>
      <c r="P55" s="189"/>
      <c r="Q55" s="1139"/>
    </row>
    <row r="56" spans="1:17" ht="15" customHeight="1">
      <c r="A56" s="1115"/>
      <c r="B56" s="1043" t="s">
        <v>339</v>
      </c>
      <c r="C56" s="1032"/>
      <c r="D56" s="1032"/>
      <c r="E56" s="1032"/>
      <c r="F56" s="228">
        <v>45900</v>
      </c>
      <c r="G56" s="1044" t="s">
        <v>485</v>
      </c>
      <c r="H56" s="1044"/>
      <c r="I56" s="1044"/>
      <c r="J56" s="1044"/>
      <c r="K56" s="1044"/>
      <c r="L56" s="1044"/>
      <c r="M56" s="1044"/>
      <c r="N56" s="1044"/>
      <c r="O56" s="1045"/>
      <c r="P56" s="189"/>
      <c r="Q56" s="1139"/>
    </row>
    <row r="57" spans="1:17" ht="13.5" customHeight="1" thickBot="1">
      <c r="A57" s="1115"/>
      <c r="B57" s="1048" t="s">
        <v>340</v>
      </c>
      <c r="C57" s="1049"/>
      <c r="D57" s="1049"/>
      <c r="E57" s="1049"/>
      <c r="F57" s="215"/>
      <c r="G57" s="1046"/>
      <c r="H57" s="1046"/>
      <c r="I57" s="1046"/>
      <c r="J57" s="1046"/>
      <c r="K57" s="1046"/>
      <c r="L57" s="1046"/>
      <c r="M57" s="1046"/>
      <c r="N57" s="1046"/>
      <c r="O57" s="1047"/>
      <c r="P57" s="189"/>
      <c r="Q57" s="1139"/>
    </row>
    <row r="58" spans="1:17" ht="15.75" customHeight="1">
      <c r="A58" s="1115"/>
      <c r="B58" s="1000" t="s">
        <v>349</v>
      </c>
      <c r="C58" s="1001"/>
      <c r="D58" s="1001"/>
      <c r="E58" s="1001"/>
      <c r="F58" s="1001"/>
      <c r="G58" s="1001"/>
      <c r="H58" s="1001"/>
      <c r="I58" s="1001"/>
      <c r="J58" s="1001"/>
      <c r="K58" s="1001"/>
      <c r="L58" s="1002"/>
      <c r="M58" s="992" t="s">
        <v>347</v>
      </c>
      <c r="N58" s="993"/>
      <c r="O58" s="994"/>
      <c r="P58" s="189"/>
      <c r="Q58" s="1139"/>
    </row>
    <row r="59" spans="1:17" ht="24.75" customHeight="1">
      <c r="A59" s="1115"/>
      <c r="B59" s="1003" t="s">
        <v>358</v>
      </c>
      <c r="C59" s="1004"/>
      <c r="D59" s="1004"/>
      <c r="E59" s="1004"/>
      <c r="F59" s="1004"/>
      <c r="G59" s="1004"/>
      <c r="H59" s="1004"/>
      <c r="I59" s="1004"/>
      <c r="J59" s="1004"/>
      <c r="K59" s="1004"/>
      <c r="L59" s="1005"/>
      <c r="M59" s="995" t="str">
        <f>CONCATENATE('School Info'!I11," ","(","Mob.No.-",'School Info'!D12,")")</f>
        <v xml:space="preserve"> (Mob.No.-)</v>
      </c>
      <c r="N59" s="996"/>
      <c r="O59" s="997"/>
      <c r="P59" s="189"/>
      <c r="Q59" s="1139"/>
    </row>
    <row r="60" spans="1:17" ht="15.75" customHeight="1">
      <c r="A60" s="1115"/>
      <c r="B60" s="983" t="str">
        <f>CONCATENATE("3. प्रमाणित किया जाता है कि लगाये गए कुक कम हेल्पर की संख्या"," - ",B20)</f>
        <v>3. प्रमाणित किया जाता है कि लगाये गए कुक कम हेल्पर की संख्या - 2</v>
      </c>
      <c r="C60" s="984"/>
      <c r="D60" s="984"/>
      <c r="E60" s="984"/>
      <c r="F60" s="984"/>
      <c r="G60" s="203" t="s">
        <v>350</v>
      </c>
      <c r="H60" s="204" t="s">
        <v>24</v>
      </c>
      <c r="I60" s="984" t="s">
        <v>351</v>
      </c>
      <c r="J60" s="984"/>
      <c r="K60" s="984"/>
      <c r="L60" s="985"/>
      <c r="M60" s="986" t="s">
        <v>348</v>
      </c>
      <c r="N60" s="987"/>
      <c r="O60" s="988"/>
      <c r="P60" s="189"/>
      <c r="Q60" s="1139"/>
    </row>
    <row r="61" spans="1:17" ht="15" customHeight="1">
      <c r="A61" s="1115"/>
      <c r="B61" s="983" t="s">
        <v>352</v>
      </c>
      <c r="C61" s="1006"/>
      <c r="D61" s="1006"/>
      <c r="E61" s="1006"/>
      <c r="F61" s="1006"/>
      <c r="G61" s="1006"/>
      <c r="H61" s="557">
        <f>'Food-Data Entry'!H14</f>
        <v>0</v>
      </c>
      <c r="I61" s="984" t="s">
        <v>353</v>
      </c>
      <c r="J61" s="984"/>
      <c r="K61" s="984"/>
      <c r="L61" s="985"/>
      <c r="M61" s="986"/>
      <c r="N61" s="987"/>
      <c r="O61" s="988"/>
      <c r="P61" s="189"/>
      <c r="Q61" s="1139"/>
    </row>
    <row r="62" spans="1:17" ht="15" customHeight="1">
      <c r="A62" s="1115"/>
      <c r="B62" s="983" t="s">
        <v>354</v>
      </c>
      <c r="C62" s="984"/>
      <c r="D62" s="984"/>
      <c r="E62" s="984"/>
      <c r="F62" s="984"/>
      <c r="G62" s="984"/>
      <c r="H62" s="984"/>
      <c r="I62" s="984"/>
      <c r="J62" s="984"/>
      <c r="K62" s="984"/>
      <c r="L62" s="216"/>
      <c r="M62" s="986"/>
      <c r="N62" s="987"/>
      <c r="O62" s="988"/>
      <c r="P62" s="189"/>
      <c r="Q62" s="1139"/>
    </row>
    <row r="63" spans="1:17" ht="15" customHeight="1">
      <c r="A63" s="1115"/>
      <c r="B63" s="981" t="s">
        <v>355</v>
      </c>
      <c r="C63" s="982"/>
      <c r="D63" s="982"/>
      <c r="E63" s="982"/>
      <c r="F63" s="982"/>
      <c r="G63" s="982"/>
      <c r="H63" s="982"/>
      <c r="I63" s="558">
        <v>0</v>
      </c>
      <c r="J63" s="205" t="s">
        <v>356</v>
      </c>
      <c r="K63" s="206" t="s">
        <v>357</v>
      </c>
      <c r="L63" s="559">
        <v>0</v>
      </c>
      <c r="M63" s="986"/>
      <c r="N63" s="987"/>
      <c r="O63" s="988"/>
      <c r="P63" s="189"/>
      <c r="Q63" s="1139"/>
    </row>
    <row r="64" spans="1:17" ht="15.75" customHeight="1" thickBot="1">
      <c r="A64" s="1115"/>
      <c r="B64" s="983" t="s">
        <v>359</v>
      </c>
      <c r="C64" s="984"/>
      <c r="D64" s="984"/>
      <c r="E64" s="984"/>
      <c r="F64" s="984"/>
      <c r="G64" s="984"/>
      <c r="H64" s="207"/>
      <c r="I64" s="208" t="s">
        <v>129</v>
      </c>
      <c r="J64" s="207"/>
      <c r="K64" s="209" t="s">
        <v>360</v>
      </c>
      <c r="L64" s="216"/>
      <c r="M64" s="989"/>
      <c r="N64" s="990"/>
      <c r="O64" s="991"/>
      <c r="P64" s="189"/>
      <c r="Q64" s="1139"/>
    </row>
    <row r="65" spans="1:17" ht="38.25" customHeight="1" thickBot="1">
      <c r="A65" s="1115"/>
      <c r="B65" s="1039" t="s">
        <v>375</v>
      </c>
      <c r="C65" s="1040"/>
      <c r="D65" s="1040"/>
      <c r="E65" s="1040"/>
      <c r="F65" s="1040"/>
      <c r="G65" s="1040"/>
      <c r="H65" s="1040"/>
      <c r="I65" s="1040"/>
      <c r="J65" s="1040"/>
      <c r="K65" s="1040"/>
      <c r="L65" s="1040"/>
      <c r="M65" s="1041"/>
      <c r="N65" s="1041"/>
      <c r="O65" s="1042"/>
      <c r="P65" s="189"/>
      <c r="Q65" s="1139"/>
    </row>
    <row r="66" spans="1:17">
      <c r="B66" s="980"/>
      <c r="C66" s="980"/>
      <c r="D66" s="980"/>
      <c r="E66" s="980"/>
      <c r="F66" s="980"/>
      <c r="G66" s="980"/>
      <c r="H66" s="980"/>
      <c r="I66" s="980"/>
      <c r="J66" s="980"/>
      <c r="K66" s="980"/>
      <c r="L66" s="980"/>
      <c r="M66" s="980"/>
      <c r="N66" s="980"/>
      <c r="O66" s="980"/>
      <c r="P66" s="980"/>
      <c r="Q66" s="980"/>
    </row>
    <row r="67" spans="1:17" hidden="1"/>
    <row r="68" spans="1:17" hidden="1"/>
    <row r="69" spans="1:17" hidden="1"/>
    <row r="70" spans="1:17" hidden="1"/>
    <row r="71" spans="1:17"/>
  </sheetData>
  <sheetProtection password="E8FA" sheet="1" objects="1" scenarios="1" formatCells="0" formatColumns="0" formatRows="0" selectLockedCells="1"/>
  <mergeCells count="200">
    <mergeCell ref="Q9:Q65"/>
    <mergeCell ref="E2:F2"/>
    <mergeCell ref="G2:O2"/>
    <mergeCell ref="B9:B10"/>
    <mergeCell ref="D9:F9"/>
    <mergeCell ref="G9:K9"/>
    <mergeCell ref="L9:O9"/>
    <mergeCell ref="D10:F10"/>
    <mergeCell ref="B7:C7"/>
    <mergeCell ref="D7:F7"/>
    <mergeCell ref="G7:K7"/>
    <mergeCell ref="L7:O7"/>
    <mergeCell ref="B8:C8"/>
    <mergeCell ref="D8:F8"/>
    <mergeCell ref="G8:K8"/>
    <mergeCell ref="L8:O8"/>
    <mergeCell ref="L10:O10"/>
    <mergeCell ref="B12:C13"/>
    <mergeCell ref="D12:D13"/>
    <mergeCell ref="E12:E13"/>
    <mergeCell ref="F12:F13"/>
    <mergeCell ref="G12:G13"/>
    <mergeCell ref="H12:H13"/>
    <mergeCell ref="M12:M13"/>
    <mergeCell ref="A1:Q1"/>
    <mergeCell ref="A2:A65"/>
    <mergeCell ref="B3:O3"/>
    <mergeCell ref="B4:C4"/>
    <mergeCell ref="D4:F4"/>
    <mergeCell ref="G4:K4"/>
    <mergeCell ref="L4:O4"/>
    <mergeCell ref="B5:C5"/>
    <mergeCell ref="D5:F5"/>
    <mergeCell ref="G5:K5"/>
    <mergeCell ref="L5:O5"/>
    <mergeCell ref="B6:C6"/>
    <mergeCell ref="D6:F6"/>
    <mergeCell ref="G6:K6"/>
    <mergeCell ref="L6:O6"/>
    <mergeCell ref="B2:D2"/>
    <mergeCell ref="B11:E11"/>
    <mergeCell ref="F11:G11"/>
    <mergeCell ref="H11:O11"/>
    <mergeCell ref="B14:C14"/>
    <mergeCell ref="B15:C15"/>
    <mergeCell ref="O12:O13"/>
    <mergeCell ref="G10:K10"/>
    <mergeCell ref="B22:O22"/>
    <mergeCell ref="N12:N13"/>
    <mergeCell ref="K12:K13"/>
    <mergeCell ref="L12:L13"/>
    <mergeCell ref="I12:J13"/>
    <mergeCell ref="I14:J14"/>
    <mergeCell ref="I15:J15"/>
    <mergeCell ref="B16:O16"/>
    <mergeCell ref="D17:E18"/>
    <mergeCell ref="D19:E19"/>
    <mergeCell ref="B17:C18"/>
    <mergeCell ref="B19:C19"/>
    <mergeCell ref="I36:J36"/>
    <mergeCell ref="D20:E20"/>
    <mergeCell ref="F17:G18"/>
    <mergeCell ref="F19:G19"/>
    <mergeCell ref="F20:G20"/>
    <mergeCell ref="K17:M18"/>
    <mergeCell ref="K19:M19"/>
    <mergeCell ref="N17:O18"/>
    <mergeCell ref="L23:L24"/>
    <mergeCell ref="M23:M24"/>
    <mergeCell ref="N23:O24"/>
    <mergeCell ref="H17:H18"/>
    <mergeCell ref="I17:J18"/>
    <mergeCell ref="I19:J19"/>
    <mergeCell ref="N19:O19"/>
    <mergeCell ref="N20:O20"/>
    <mergeCell ref="K20:M20"/>
    <mergeCell ref="B21:O21"/>
    <mergeCell ref="B23:B24"/>
    <mergeCell ref="F23:F24"/>
    <mergeCell ref="G23:G24"/>
    <mergeCell ref="H23:H24"/>
    <mergeCell ref="C23:C24"/>
    <mergeCell ref="I23:J24"/>
    <mergeCell ref="N40:O40"/>
    <mergeCell ref="B41:B43"/>
    <mergeCell ref="C41:C43"/>
    <mergeCell ref="N34:O34"/>
    <mergeCell ref="N37:O37"/>
    <mergeCell ref="I25:J25"/>
    <mergeCell ref="I26:J26"/>
    <mergeCell ref="I27:J27"/>
    <mergeCell ref="I28:J28"/>
    <mergeCell ref="I29:J29"/>
    <mergeCell ref="I31:J31"/>
    <mergeCell ref="I32:J32"/>
    <mergeCell ref="N31:O31"/>
    <mergeCell ref="C25:D25"/>
    <mergeCell ref="N25:O25"/>
    <mergeCell ref="N26:O26"/>
    <mergeCell ref="N27:O27"/>
    <mergeCell ref="N28:O28"/>
    <mergeCell ref="N29:O29"/>
    <mergeCell ref="N32:O32"/>
    <mergeCell ref="B30:B31"/>
    <mergeCell ref="B36:B37"/>
    <mergeCell ref="I30:J30"/>
    <mergeCell ref="N30:O30"/>
    <mergeCell ref="F41:F43"/>
    <mergeCell ref="G41:G43"/>
    <mergeCell ref="H41:H43"/>
    <mergeCell ref="J41:J43"/>
    <mergeCell ref="G46:H46"/>
    <mergeCell ref="L46:O46"/>
    <mergeCell ref="K41:M41"/>
    <mergeCell ref="N41:O41"/>
    <mergeCell ref="K42:M42"/>
    <mergeCell ref="N42:O42"/>
    <mergeCell ref="K43:M43"/>
    <mergeCell ref="N43:O43"/>
    <mergeCell ref="B51:F51"/>
    <mergeCell ref="G51:O51"/>
    <mergeCell ref="B52:F52"/>
    <mergeCell ref="G52:H52"/>
    <mergeCell ref="J52:K54"/>
    <mergeCell ref="B53:E53"/>
    <mergeCell ref="G53:H53"/>
    <mergeCell ref="B54:E54"/>
    <mergeCell ref="I48:K48"/>
    <mergeCell ref="I49:K49"/>
    <mergeCell ref="I52:I54"/>
    <mergeCell ref="L52:O54"/>
    <mergeCell ref="B48:C48"/>
    <mergeCell ref="D48:F48"/>
    <mergeCell ref="G48:H48"/>
    <mergeCell ref="L48:O48"/>
    <mergeCell ref="L49:O49"/>
    <mergeCell ref="B50:C50"/>
    <mergeCell ref="D50:F50"/>
    <mergeCell ref="G50:H50"/>
    <mergeCell ref="L50:O50"/>
    <mergeCell ref="I50:K50"/>
    <mergeCell ref="B49:C49"/>
    <mergeCell ref="D49:F49"/>
    <mergeCell ref="B65:O65"/>
    <mergeCell ref="B56:E56"/>
    <mergeCell ref="G56:O57"/>
    <mergeCell ref="B57:E57"/>
    <mergeCell ref="G54:H54"/>
    <mergeCell ref="B55:E55"/>
    <mergeCell ref="G55:H55"/>
    <mergeCell ref="J55:K55"/>
    <mergeCell ref="B60:F60"/>
    <mergeCell ref="I20:J20"/>
    <mergeCell ref="B47:C47"/>
    <mergeCell ref="D47:F47"/>
    <mergeCell ref="G47:H47"/>
    <mergeCell ref="L47:O47"/>
    <mergeCell ref="B44:O44"/>
    <mergeCell ref="B45:C45"/>
    <mergeCell ref="D45:F45"/>
    <mergeCell ref="G45:H45"/>
    <mergeCell ref="L45:O45"/>
    <mergeCell ref="I45:K45"/>
    <mergeCell ref="I46:K46"/>
    <mergeCell ref="I47:K47"/>
    <mergeCell ref="B46:C46"/>
    <mergeCell ref="D46:F46"/>
    <mergeCell ref="B38:O38"/>
    <mergeCell ref="B39:E39"/>
    <mergeCell ref="K39:M39"/>
    <mergeCell ref="N39:O39"/>
    <mergeCell ref="K40:M40"/>
    <mergeCell ref="N36:O36"/>
    <mergeCell ref="I33:J33"/>
    <mergeCell ref="D41:D43"/>
    <mergeCell ref="E41:E43"/>
    <mergeCell ref="I35:J35"/>
    <mergeCell ref="N33:O33"/>
    <mergeCell ref="N35:O35"/>
    <mergeCell ref="Q2:Q8"/>
    <mergeCell ref="B66:Q66"/>
    <mergeCell ref="B63:H63"/>
    <mergeCell ref="B64:G64"/>
    <mergeCell ref="I61:L61"/>
    <mergeCell ref="M60:O64"/>
    <mergeCell ref="M58:O58"/>
    <mergeCell ref="M59:O59"/>
    <mergeCell ref="L55:O55"/>
    <mergeCell ref="B58:L58"/>
    <mergeCell ref="B59:L59"/>
    <mergeCell ref="I60:L60"/>
    <mergeCell ref="B61:G61"/>
    <mergeCell ref="B62:K62"/>
    <mergeCell ref="I34:J34"/>
    <mergeCell ref="I37:J37"/>
    <mergeCell ref="F39:I39"/>
    <mergeCell ref="I41:I43"/>
    <mergeCell ref="J39:J40"/>
    <mergeCell ref="G49:H49"/>
    <mergeCell ref="B20:C20"/>
  </mergeCells>
  <conditionalFormatting sqref="N40:O43">
    <cfRule type="cellIs" dxfId="19" priority="5" operator="equal">
      <formula>0</formula>
    </cfRule>
  </conditionalFormatting>
  <conditionalFormatting sqref="G55:K55 F53:F57 B46:O50">
    <cfRule type="cellIs" dxfId="18" priority="2" operator="equal">
      <formula>0</formula>
    </cfRule>
  </conditionalFormatting>
  <pageMargins left="0.33" right="0.17" top="0.35" bottom="0.18" header="0.3" footer="0.16"/>
  <pageSetup scale="76" orientation="portrait" r:id="rId1"/>
  <colBreaks count="1" manualBreakCount="1">
    <brk id="15" max="1048575" man="1"/>
  </colBreaks>
</worksheet>
</file>

<file path=xl/worksheets/sheet7.xml><?xml version="1.0" encoding="utf-8"?>
<worksheet xmlns="http://schemas.openxmlformats.org/spreadsheetml/2006/main" xmlns:r="http://schemas.openxmlformats.org/officeDocument/2006/relationships">
  <sheetPr codeName="Sheet4">
    <tabColor rgb="FFFFFF00"/>
  </sheetPr>
  <dimension ref="A1:BE56"/>
  <sheetViews>
    <sheetView showGridLines="0" topLeftCell="A4" zoomScale="85" zoomScaleNormal="85" workbookViewId="0">
      <selection activeCell="BF4" sqref="BF1:XFD1048576"/>
    </sheetView>
  </sheetViews>
  <sheetFormatPr defaultColWidth="0" defaultRowHeight="17.25" customHeight="1" zeroHeight="1"/>
  <cols>
    <col min="1" max="1" width="3.42578125" style="188" customWidth="1"/>
    <col min="2" max="2" width="6" style="188" hidden="1" customWidth="1"/>
    <col min="3" max="3" width="12.42578125" style="188" hidden="1" customWidth="1"/>
    <col min="4" max="4" width="14.140625" style="188" customWidth="1"/>
    <col min="5" max="5" width="15" style="188" customWidth="1"/>
    <col min="6" max="13" width="12.42578125" style="188" customWidth="1"/>
    <col min="14" max="14" width="11.140625" style="188" customWidth="1"/>
    <col min="15" max="15" width="10.28515625" style="188" customWidth="1"/>
    <col min="16" max="56" width="0" style="188" hidden="1" customWidth="1"/>
    <col min="57" max="57" width="1.7109375" style="188" customWidth="1"/>
    <col min="58" max="16384" width="4.42578125" style="188" hidden="1"/>
  </cols>
  <sheetData>
    <row r="1" spans="1:18" ht="15" thickBot="1">
      <c r="A1" s="980"/>
      <c r="B1" s="980"/>
      <c r="C1" s="980"/>
      <c r="D1" s="980"/>
      <c r="E1" s="980"/>
      <c r="F1" s="980"/>
      <c r="G1" s="980"/>
      <c r="H1" s="980"/>
      <c r="I1" s="980"/>
      <c r="J1" s="980"/>
      <c r="K1" s="980"/>
      <c r="L1" s="980"/>
      <c r="M1" s="980"/>
      <c r="N1" s="980"/>
      <c r="O1" s="980"/>
      <c r="P1" s="980"/>
    </row>
    <row r="2" spans="1:18" ht="26.25" customHeight="1">
      <c r="A2" s="1238"/>
      <c r="B2" s="190"/>
      <c r="C2" s="190"/>
      <c r="D2" s="1247" t="s">
        <v>361</v>
      </c>
      <c r="E2" s="1248"/>
      <c r="F2" s="1248"/>
      <c r="G2" s="1248"/>
      <c r="H2" s="1248"/>
      <c r="I2" s="1248"/>
      <c r="J2" s="1248"/>
      <c r="K2" s="1248"/>
      <c r="L2" s="1248"/>
      <c r="M2" s="1248"/>
      <c r="N2" s="1248"/>
      <c r="O2" s="1249"/>
      <c r="R2" s="1208" t="str">
        <f>'School Info'!B2</f>
        <v>Prepared By:-  Mr. Ummeda Ram (Teacher,GSSS Raimalwada)</v>
      </c>
    </row>
    <row r="3" spans="1:18" ht="21.75" customHeight="1" thickBot="1">
      <c r="A3" s="1238"/>
      <c r="B3" s="190"/>
      <c r="C3" s="190"/>
      <c r="D3" s="1250" t="str">
        <f>F6</f>
        <v>Govt. Sr. Sec. School Raimalwada, Bapini (Phalodi)</v>
      </c>
      <c r="E3" s="1251"/>
      <c r="F3" s="1251"/>
      <c r="G3" s="1251"/>
      <c r="H3" s="1251"/>
      <c r="I3" s="1251"/>
      <c r="J3" s="1251"/>
      <c r="K3" s="1251"/>
      <c r="L3" s="1251"/>
      <c r="M3" s="1251"/>
      <c r="N3" s="1251"/>
      <c r="O3" s="1252"/>
      <c r="R3" s="1209"/>
    </row>
    <row r="4" spans="1:18" ht="18.75" customHeight="1">
      <c r="A4" s="1238"/>
      <c r="B4" s="190"/>
      <c r="C4" s="190"/>
      <c r="D4" s="1242" t="s">
        <v>362</v>
      </c>
      <c r="E4" s="1243"/>
      <c r="F4" s="1243"/>
      <c r="G4" s="1243"/>
      <c r="H4" s="1243"/>
      <c r="I4" s="1253" t="s">
        <v>363</v>
      </c>
      <c r="J4" s="1253"/>
      <c r="K4" s="1253"/>
      <c r="L4" s="1253"/>
      <c r="M4" s="1253"/>
      <c r="N4" s="1253"/>
      <c r="O4" s="1254"/>
      <c r="R4" s="1209"/>
    </row>
    <row r="5" spans="1:18" ht="20.25" customHeight="1">
      <c r="A5" s="1238"/>
      <c r="B5" s="190"/>
      <c r="C5" s="190"/>
      <c r="D5" s="1244" t="s">
        <v>364</v>
      </c>
      <c r="E5" s="1245"/>
      <c r="F5" s="1245"/>
      <c r="G5" s="1245"/>
      <c r="H5" s="1245"/>
      <c r="I5" s="1245"/>
      <c r="J5" s="1235" t="str">
        <f>'Food-Data Entry'!$AM$3</f>
        <v>November-2025</v>
      </c>
      <c r="K5" s="1235"/>
      <c r="L5" s="1245" t="s">
        <v>42</v>
      </c>
      <c r="M5" s="1245"/>
      <c r="N5" s="1185"/>
      <c r="O5" s="1186"/>
      <c r="R5" s="1209"/>
    </row>
    <row r="6" spans="1:18" ht="22.5" customHeight="1">
      <c r="A6" s="1238"/>
      <c r="B6" s="190"/>
      <c r="C6" s="190"/>
      <c r="D6" s="1202" t="s">
        <v>3</v>
      </c>
      <c r="E6" s="1203"/>
      <c r="F6" s="1172" t="str">
        <f>'School Info'!$D$4</f>
        <v>Govt. Sr. Sec. School Raimalwada, Bapini (Phalodi)</v>
      </c>
      <c r="G6" s="1173"/>
      <c r="H6" s="1173"/>
      <c r="I6" s="1173"/>
      <c r="J6" s="1174"/>
      <c r="K6" s="1239" t="s">
        <v>430</v>
      </c>
      <c r="L6" s="1240"/>
      <c r="M6" s="1241"/>
      <c r="N6" s="1170">
        <f>'School Info'!$D$6</f>
        <v>8150506901</v>
      </c>
      <c r="O6" s="1171"/>
      <c r="R6" s="1209"/>
    </row>
    <row r="7" spans="1:18" ht="16.5" customHeight="1">
      <c r="A7" s="1238"/>
      <c r="B7" s="190"/>
      <c r="C7" s="190"/>
      <c r="D7" s="1202" t="s">
        <v>4</v>
      </c>
      <c r="E7" s="1203"/>
      <c r="F7" s="1246" t="str">
        <f>'School Info'!$D$7</f>
        <v>Rural</v>
      </c>
      <c r="G7" s="1246"/>
      <c r="H7" s="1203" t="s">
        <v>6</v>
      </c>
      <c r="I7" s="1203"/>
      <c r="J7" s="1203"/>
      <c r="K7" s="1183" t="str">
        <f>'School Info'!$I$7</f>
        <v>Sr.Sec.(I to XII)</v>
      </c>
      <c r="L7" s="1183"/>
      <c r="M7" s="1183"/>
      <c r="N7" s="1183"/>
      <c r="O7" s="1184"/>
      <c r="R7" s="1209"/>
    </row>
    <row r="8" spans="1:18" ht="15.75" customHeight="1" thickBot="1">
      <c r="A8" s="1238"/>
      <c r="B8" s="190"/>
      <c r="C8" s="190"/>
      <c r="D8" s="1202" t="s">
        <v>9</v>
      </c>
      <c r="E8" s="1203"/>
      <c r="F8" s="1206" t="str">
        <f>'School Info'!$D$8</f>
        <v>Phalodi</v>
      </c>
      <c r="G8" s="1207"/>
      <c r="H8" s="1203" t="s">
        <v>11</v>
      </c>
      <c r="I8" s="1203"/>
      <c r="J8" s="1203"/>
      <c r="K8" s="1183" t="str">
        <f>'School Info'!$I$8</f>
        <v>Bapini</v>
      </c>
      <c r="L8" s="1183"/>
      <c r="M8" s="1183"/>
      <c r="N8" s="1183"/>
      <c r="O8" s="1184"/>
      <c r="R8" s="1210"/>
    </row>
    <row r="9" spans="1:18" ht="15.75" customHeight="1">
      <c r="A9" s="1238"/>
      <c r="B9" s="190"/>
      <c r="C9" s="190"/>
      <c r="D9" s="1202" t="s">
        <v>10</v>
      </c>
      <c r="E9" s="1203"/>
      <c r="F9" s="1207" t="str">
        <f>'School Info'!$D$9</f>
        <v>Raimalwada</v>
      </c>
      <c r="G9" s="1205"/>
      <c r="H9" s="1203" t="s">
        <v>18</v>
      </c>
      <c r="I9" s="1203"/>
      <c r="J9" s="1203"/>
      <c r="K9" s="1185">
        <f>'School Info'!I13</f>
        <v>0</v>
      </c>
      <c r="L9" s="1185"/>
      <c r="M9" s="1185"/>
      <c r="N9" s="1185"/>
      <c r="O9" s="1186"/>
    </row>
    <row r="10" spans="1:18" ht="15.75" customHeight="1">
      <c r="A10" s="1238"/>
      <c r="B10" s="190"/>
      <c r="C10" s="190"/>
      <c r="D10" s="1202" t="s">
        <v>26</v>
      </c>
      <c r="E10" s="1203"/>
      <c r="F10" s="1204" t="str">
        <f>'School Info'!$D$10</f>
        <v>SBI Osian</v>
      </c>
      <c r="G10" s="1205"/>
      <c r="H10" s="1203" t="s">
        <v>28</v>
      </c>
      <c r="I10" s="1203"/>
      <c r="J10" s="1203"/>
      <c r="K10" s="1183">
        <f>'School Info'!$I$10</f>
        <v>0</v>
      </c>
      <c r="L10" s="1183"/>
      <c r="M10" s="1183"/>
      <c r="N10" s="1183"/>
      <c r="O10" s="1184"/>
      <c r="P10" s="191"/>
    </row>
    <row r="11" spans="1:18" ht="15.75" customHeight="1">
      <c r="A11" s="1238"/>
      <c r="B11" s="190"/>
      <c r="C11" s="190"/>
      <c r="D11" s="1236" t="s">
        <v>29</v>
      </c>
      <c r="E11" s="1237"/>
      <c r="F11" s="1211" t="str">
        <f>'School Info'!$D$11</f>
        <v>SBIN0031206</v>
      </c>
      <c r="G11" s="1212"/>
      <c r="H11" s="1213" t="s">
        <v>31</v>
      </c>
      <c r="I11" s="1213"/>
      <c r="J11" s="1213"/>
      <c r="K11" s="1183">
        <f>'School Info'!$I$11</f>
        <v>0</v>
      </c>
      <c r="L11" s="1183"/>
      <c r="M11" s="1183"/>
      <c r="N11" s="1183"/>
      <c r="O11" s="1184"/>
      <c r="P11" s="191"/>
    </row>
    <row r="12" spans="1:18" ht="26.25" customHeight="1" thickBot="1">
      <c r="A12" s="1238"/>
      <c r="B12" s="190"/>
      <c r="C12" s="190"/>
      <c r="D12" s="1223" t="s">
        <v>32</v>
      </c>
      <c r="E12" s="1224"/>
      <c r="F12" s="1225">
        <f>'School Info'!$D$12</f>
        <v>0</v>
      </c>
      <c r="G12" s="1226"/>
      <c r="H12" s="1195" t="s">
        <v>114</v>
      </c>
      <c r="I12" s="1195"/>
      <c r="J12" s="1195"/>
      <c r="K12" s="1189">
        <f>'School Info'!D13</f>
        <v>0</v>
      </c>
      <c r="L12" s="1189"/>
      <c r="M12" s="1189"/>
      <c r="N12" s="1189"/>
      <c r="O12" s="1190"/>
      <c r="P12" s="191"/>
    </row>
    <row r="13" spans="1:18" ht="17.25" customHeight="1" thickBot="1">
      <c r="A13" s="1238"/>
      <c r="B13" s="268"/>
      <c r="C13" s="268"/>
      <c r="D13" s="1231" t="s">
        <v>410</v>
      </c>
      <c r="E13" s="1232"/>
      <c r="F13" s="1232"/>
      <c r="G13" s="1187" t="s">
        <v>411</v>
      </c>
      <c r="H13" s="1188"/>
      <c r="I13" s="330"/>
      <c r="J13" s="1187" t="s">
        <v>412</v>
      </c>
      <c r="K13" s="1188"/>
      <c r="L13" s="331"/>
      <c r="M13" s="1191" t="s">
        <v>413</v>
      </c>
      <c r="N13" s="1192"/>
      <c r="O13" s="331"/>
      <c r="P13" s="191"/>
    </row>
    <row r="14" spans="1:18" ht="17.25" customHeight="1">
      <c r="A14" s="1238"/>
      <c r="B14" s="268"/>
      <c r="C14" s="268"/>
      <c r="D14" s="1198" t="s">
        <v>156</v>
      </c>
      <c r="E14" s="1193" t="s">
        <v>21</v>
      </c>
      <c r="F14" s="1194"/>
      <c r="G14" s="1200" t="s">
        <v>22</v>
      </c>
      <c r="H14" s="1201"/>
      <c r="I14" s="1193" t="s">
        <v>146</v>
      </c>
      <c r="J14" s="1194"/>
      <c r="K14" s="1200" t="s">
        <v>415</v>
      </c>
      <c r="L14" s="1201"/>
      <c r="M14" s="1193" t="s">
        <v>23</v>
      </c>
      <c r="N14" s="1194"/>
      <c r="O14" s="1196" t="s">
        <v>414</v>
      </c>
      <c r="P14" s="191"/>
    </row>
    <row r="15" spans="1:18" ht="17.25" customHeight="1" thickBot="1">
      <c r="A15" s="1238"/>
      <c r="B15" s="268"/>
      <c r="C15" s="268"/>
      <c r="D15" s="1199"/>
      <c r="E15" s="273" t="s">
        <v>416</v>
      </c>
      <c r="F15" s="329" t="s">
        <v>417</v>
      </c>
      <c r="G15" s="328" t="s">
        <v>416</v>
      </c>
      <c r="H15" s="332" t="s">
        <v>417</v>
      </c>
      <c r="I15" s="273" t="s">
        <v>416</v>
      </c>
      <c r="J15" s="329" t="s">
        <v>417</v>
      </c>
      <c r="K15" s="328" t="s">
        <v>416</v>
      </c>
      <c r="L15" s="332" t="s">
        <v>417</v>
      </c>
      <c r="M15" s="273" t="s">
        <v>416</v>
      </c>
      <c r="N15" s="329" t="s">
        <v>417</v>
      </c>
      <c r="O15" s="1197"/>
      <c r="P15" s="191"/>
    </row>
    <row r="16" spans="1:18" ht="17.25" customHeight="1">
      <c r="A16" s="1238"/>
      <c r="B16" s="268"/>
      <c r="C16" s="268"/>
      <c r="D16" s="333" t="s">
        <v>254</v>
      </c>
      <c r="E16" s="338">
        <f>Namankan!C10</f>
        <v>25</v>
      </c>
      <c r="F16" s="335">
        <f>Namankan!D10</f>
        <v>20</v>
      </c>
      <c r="G16" s="336">
        <f>Namankan!E10</f>
        <v>30</v>
      </c>
      <c r="H16" s="337">
        <f>Namankan!F10</f>
        <v>35</v>
      </c>
      <c r="I16" s="338">
        <f>Namankan!G10</f>
        <v>60</v>
      </c>
      <c r="J16" s="339">
        <f>Namankan!H10</f>
        <v>110</v>
      </c>
      <c r="K16" s="340">
        <f>Namankan!I10</f>
        <v>30</v>
      </c>
      <c r="L16" s="337">
        <f>Namankan!J10</f>
        <v>35</v>
      </c>
      <c r="M16" s="338">
        <f>Namankan!K10</f>
        <v>145</v>
      </c>
      <c r="N16" s="339">
        <f>Namankan!L10</f>
        <v>200</v>
      </c>
      <c r="O16" s="347">
        <f>Namankan!M10</f>
        <v>345</v>
      </c>
      <c r="P16" s="191"/>
    </row>
    <row r="17" spans="1:42" ht="17.25" customHeight="1" thickBot="1">
      <c r="A17" s="1238"/>
      <c r="B17" s="268"/>
      <c r="C17" s="268"/>
      <c r="D17" s="334" t="s">
        <v>255</v>
      </c>
      <c r="E17" s="344">
        <f>Namankan!C14</f>
        <v>27</v>
      </c>
      <c r="F17" s="341">
        <f>Namankan!D14</f>
        <v>24</v>
      </c>
      <c r="G17" s="342">
        <f>Namankan!E14</f>
        <v>30</v>
      </c>
      <c r="H17" s="343">
        <f>Namankan!F14</f>
        <v>33</v>
      </c>
      <c r="I17" s="344">
        <f>Namankan!G14</f>
        <v>48</v>
      </c>
      <c r="J17" s="345">
        <f>Namankan!H14</f>
        <v>78</v>
      </c>
      <c r="K17" s="346">
        <f>Namankan!I14</f>
        <v>30</v>
      </c>
      <c r="L17" s="343">
        <f>Namankan!J14</f>
        <v>33</v>
      </c>
      <c r="M17" s="344">
        <f>Namankan!K14</f>
        <v>135</v>
      </c>
      <c r="N17" s="345">
        <f>Namankan!L14</f>
        <v>168</v>
      </c>
      <c r="O17" s="348">
        <f>Namankan!M14</f>
        <v>303</v>
      </c>
      <c r="P17" s="191"/>
    </row>
    <row r="18" spans="1:42" ht="17.25" customHeight="1" thickBot="1">
      <c r="A18" s="1238"/>
      <c r="B18" s="268"/>
      <c r="C18" s="268"/>
      <c r="D18" s="349" t="s">
        <v>130</v>
      </c>
      <c r="E18" s="350">
        <f>Namankan!C15</f>
        <v>52</v>
      </c>
      <c r="F18" s="351">
        <f>Namankan!D15</f>
        <v>44</v>
      </c>
      <c r="G18" s="352">
        <f>Namankan!E15</f>
        <v>60</v>
      </c>
      <c r="H18" s="353">
        <f>Namankan!F15</f>
        <v>68</v>
      </c>
      <c r="I18" s="354">
        <f>Namankan!G15</f>
        <v>108</v>
      </c>
      <c r="J18" s="351">
        <f>Namankan!H15</f>
        <v>188</v>
      </c>
      <c r="K18" s="352">
        <f>Namankan!I15</f>
        <v>60</v>
      </c>
      <c r="L18" s="353">
        <f>Namankan!J15</f>
        <v>68</v>
      </c>
      <c r="M18" s="354">
        <f>Namankan!K15</f>
        <v>280</v>
      </c>
      <c r="N18" s="351">
        <f>Namankan!L15</f>
        <v>368</v>
      </c>
      <c r="O18" s="355">
        <f>Namankan!M15</f>
        <v>648</v>
      </c>
      <c r="P18" s="191"/>
    </row>
    <row r="19" spans="1:42" ht="22.5" customHeight="1">
      <c r="A19" s="1238"/>
      <c r="B19" s="190"/>
      <c r="C19" s="190"/>
      <c r="D19" s="1217" t="s">
        <v>365</v>
      </c>
      <c r="E19" s="1218"/>
      <c r="F19" s="1228" t="s">
        <v>366</v>
      </c>
      <c r="G19" s="1227" t="s">
        <v>368</v>
      </c>
      <c r="H19" s="1175"/>
      <c r="I19" s="1175"/>
      <c r="J19" s="1228" t="s">
        <v>367</v>
      </c>
      <c r="K19" s="1227" t="s">
        <v>369</v>
      </c>
      <c r="L19" s="1175"/>
      <c r="M19" s="1175"/>
      <c r="N19" s="1175" t="s">
        <v>418</v>
      </c>
      <c r="O19" s="1176"/>
      <c r="P19" s="191"/>
    </row>
    <row r="20" spans="1:42" ht="23.25" customHeight="1">
      <c r="A20" s="1238"/>
      <c r="B20" s="190"/>
      <c r="C20" s="190"/>
      <c r="D20" s="1219"/>
      <c r="E20" s="1220"/>
      <c r="F20" s="1229"/>
      <c r="G20" s="272" t="str">
        <f>CONCATENATE(P22," ","ग्राम/विद्यार्थी")</f>
        <v>100 ग्राम/विद्यार्थी</v>
      </c>
      <c r="H20" s="272" t="str">
        <f>G20</f>
        <v>100 ग्राम/विद्यार्थी</v>
      </c>
      <c r="I20" s="272" t="str">
        <f>CONCATENATE(P21," ","ग्राम/विद्यार्थी")</f>
        <v>15 ग्राम/विद्यार्थी</v>
      </c>
      <c r="J20" s="1229"/>
      <c r="K20" s="272" t="str">
        <f>CONCATENATE(P24," ","ग्राम/विद्यार्थी")</f>
        <v>150 ग्राम/विद्यार्थी</v>
      </c>
      <c r="L20" s="272" t="str">
        <f>K20</f>
        <v>150 ग्राम/विद्यार्थी</v>
      </c>
      <c r="M20" s="272" t="str">
        <f>CONCATENATE(P23," ","ग्राम/विद्यार्थी")</f>
        <v>20 ग्राम/विद्यार्थी</v>
      </c>
      <c r="N20" s="1177"/>
      <c r="O20" s="1178"/>
      <c r="P20" s="191"/>
      <c r="AC20" s="433"/>
      <c r="AD20" s="433"/>
      <c r="AE20" s="433"/>
      <c r="AF20" s="433"/>
      <c r="AG20" s="433"/>
      <c r="AH20" s="1156" t="s">
        <v>118</v>
      </c>
      <c r="AI20" s="1156"/>
      <c r="AJ20" s="1156"/>
      <c r="AK20" s="1156"/>
      <c r="AL20" s="433"/>
      <c r="AM20" s="1156" t="s">
        <v>119</v>
      </c>
      <c r="AN20" s="1156"/>
      <c r="AO20" s="1156"/>
      <c r="AP20" s="1156"/>
    </row>
    <row r="21" spans="1:42" ht="29.25" customHeight="1" thickBot="1">
      <c r="A21" s="1238"/>
      <c r="B21" s="190"/>
      <c r="C21" s="190"/>
      <c r="D21" s="1221"/>
      <c r="E21" s="1222"/>
      <c r="F21" s="1230"/>
      <c r="G21" s="356" t="s">
        <v>371</v>
      </c>
      <c r="H21" s="462" t="s">
        <v>372</v>
      </c>
      <c r="I21" s="356" t="s">
        <v>373</v>
      </c>
      <c r="J21" s="1230"/>
      <c r="K21" s="356" t="s">
        <v>371</v>
      </c>
      <c r="L21" s="356" t="s">
        <v>372</v>
      </c>
      <c r="M21" s="356" t="s">
        <v>373</v>
      </c>
      <c r="N21" s="1179"/>
      <c r="O21" s="1180"/>
      <c r="P21" s="192">
        <f>'School Info'!C21</f>
        <v>15</v>
      </c>
      <c r="AC21" s="433" t="s">
        <v>115</v>
      </c>
      <c r="AD21" s="433" t="s">
        <v>452</v>
      </c>
      <c r="AE21" s="433" t="s">
        <v>453</v>
      </c>
      <c r="AF21" s="433" t="s">
        <v>454</v>
      </c>
      <c r="AG21" s="433"/>
      <c r="AH21" s="433" t="s">
        <v>115</v>
      </c>
      <c r="AI21" s="433" t="s">
        <v>452</v>
      </c>
      <c r="AJ21" s="433" t="s">
        <v>453</v>
      </c>
      <c r="AK21" s="433" t="s">
        <v>454</v>
      </c>
      <c r="AL21" s="433"/>
      <c r="AM21" s="433" t="s">
        <v>115</v>
      </c>
      <c r="AN21" s="433" t="s">
        <v>452</v>
      </c>
      <c r="AO21" s="433" t="s">
        <v>453</v>
      </c>
      <c r="AP21" s="433" t="s">
        <v>454</v>
      </c>
    </row>
    <row r="22" spans="1:42" ht="21.75" customHeight="1">
      <c r="A22" s="1238"/>
      <c r="B22" s="190" t="str">
        <f>IF('Food-Data Entry'!N7="खुला",'Food-Data Entry'!M7,'Food-Data Entry'!N7)</f>
        <v>Saturday</v>
      </c>
      <c r="C22" s="190" t="str">
        <f>'Food-Data Entry'!O7</f>
        <v>Saturday</v>
      </c>
      <c r="D22" s="358">
        <f>'Food-Data Entry'!L7</f>
        <v>45962</v>
      </c>
      <c r="E22" s="359" t="str">
        <f>CONCATENATE("(",B22,")")</f>
        <v>(Saturday)</v>
      </c>
      <c r="F22" s="360">
        <f>'Food-Data Entry'!Z7</f>
        <v>60</v>
      </c>
      <c r="G22" s="560">
        <f>'Food-Data Entry'!AW7</f>
        <v>6</v>
      </c>
      <c r="H22" s="560">
        <f>'Food-Data Entry'!AX7</f>
        <v>0</v>
      </c>
      <c r="I22" s="560">
        <f>'MIlk-Data Entry'!BB7</f>
        <v>0.45</v>
      </c>
      <c r="J22" s="560">
        <f>'Food-Data Entry'!AC7</f>
        <v>12</v>
      </c>
      <c r="K22" s="560">
        <f>'Food-Data Entry'!AY7</f>
        <v>1.8</v>
      </c>
      <c r="L22" s="560">
        <f>'Food-Data Entry'!AZ7</f>
        <v>0</v>
      </c>
      <c r="M22" s="560">
        <f>'MIlk-Data Entry'!BD7</f>
        <v>0.24</v>
      </c>
      <c r="N22" s="1181" t="str">
        <f>IF(D22="---",0,IF(C22="Holiday","---",VLOOKUP(C22,$Q$22:R27,2,0)))</f>
        <v xml:space="preserve">रोटी -दाल, सब्जी &amp; दूध </v>
      </c>
      <c r="O22" s="1182"/>
      <c r="P22" s="192">
        <f>'School Info'!E17</f>
        <v>100</v>
      </c>
      <c r="Q22" s="188" t="str">
        <f>'Food-Data Entry'!B20</f>
        <v>Monday</v>
      </c>
      <c r="R22" s="188" t="str">
        <f>CONCATENATE('Food-Data Entry'!E20," ","&amp;"," ",'Food-Data Entry'!H20)</f>
        <v>रोटी -दाल, सब्जी &amp;  दुग्ध</v>
      </c>
      <c r="S22" s="188">
        <f>IF(F22&gt;0,1,0)</f>
        <v>1</v>
      </c>
      <c r="T22" s="188">
        <f t="shared" ref="T22:Z37" si="0">IF(G22&gt;0,1,0)</f>
        <v>1</v>
      </c>
      <c r="U22" s="188">
        <f t="shared" si="0"/>
        <v>0</v>
      </c>
      <c r="V22" s="188">
        <f t="shared" si="0"/>
        <v>1</v>
      </c>
      <c r="W22" s="188">
        <f t="shared" si="0"/>
        <v>1</v>
      </c>
      <c r="X22" s="188">
        <f t="shared" si="0"/>
        <v>1</v>
      </c>
      <c r="Y22" s="188">
        <f t="shared" si="0"/>
        <v>0</v>
      </c>
      <c r="Z22" s="188">
        <f t="shared" si="0"/>
        <v>1</v>
      </c>
      <c r="AC22" s="433">
        <f>IF(OR(N22="रोटी - दाल+दुग्ध",N22="रोटी - सब्जी",N22="रोटी - सब्जी+फल",N22="रोटी - दाल"),1,0)</f>
        <v>0</v>
      </c>
      <c r="AD22" s="433">
        <f>IF(OR(N22="रोटी - दाल+दुग्ध",N22="खिचडी",N22="खिचडी+दुग्ध",N22="चावल एवं दाल/सब्जी+दुग्ध",N22="रोटी - दाल",N22="चावल एवं दाल/सब्जी"),1,0)</f>
        <v>0</v>
      </c>
      <c r="AE22" s="433">
        <f>IF(OR(N22="चावल एवं दाल/सब्जी+दुग्ध",N22="चावल एवं दाल/सब्जी",N22="रोटी - सब्जी+फल",N22="रोटी - सब्जी"),1,0)</f>
        <v>0</v>
      </c>
      <c r="AF22" s="433">
        <f>IF(B22="Monday",1,0)</f>
        <v>0</v>
      </c>
      <c r="AG22" s="433"/>
      <c r="AH22" s="433">
        <f>IF(AC22=1,$F22,0)</f>
        <v>0</v>
      </c>
      <c r="AI22" s="433">
        <f t="shared" ref="AI22:AK22" si="1">IF(AD22=1,$F22,0)</f>
        <v>0</v>
      </c>
      <c r="AJ22" s="433">
        <f t="shared" si="1"/>
        <v>0</v>
      </c>
      <c r="AK22" s="433">
        <f t="shared" si="1"/>
        <v>0</v>
      </c>
      <c r="AL22" s="433"/>
      <c r="AM22" s="433">
        <f>IF(AC22=1,$J22,0)</f>
        <v>0</v>
      </c>
      <c r="AN22" s="433">
        <f t="shared" ref="AN22:AP22" si="2">IF(AD22=1,$J22,0)</f>
        <v>0</v>
      </c>
      <c r="AO22" s="433">
        <f t="shared" si="2"/>
        <v>0</v>
      </c>
      <c r="AP22" s="433">
        <f t="shared" si="2"/>
        <v>0</v>
      </c>
    </row>
    <row r="23" spans="1:42" ht="21.75" customHeight="1">
      <c r="A23" s="1238"/>
      <c r="B23" s="190" t="str">
        <f>IF('Food-Data Entry'!N8="खुला",'Food-Data Entry'!M8,'Food-Data Entry'!N8)</f>
        <v>रवि॰अव॰</v>
      </c>
      <c r="C23" s="190" t="str">
        <f>'Food-Data Entry'!O8</f>
        <v>Holiday</v>
      </c>
      <c r="D23" s="361">
        <f>'Food-Data Entry'!L8</f>
        <v>45963</v>
      </c>
      <c r="E23" s="357" t="str">
        <f t="shared" ref="E23:E51" si="3">CONCATENATE("(",B23,")")</f>
        <v>(रवि॰अव॰)</v>
      </c>
      <c r="F23" s="270">
        <f>'Food-Data Entry'!Z8</f>
        <v>0</v>
      </c>
      <c r="G23" s="561">
        <f>'Food-Data Entry'!AW8</f>
        <v>0</v>
      </c>
      <c r="H23" s="561">
        <f>'Food-Data Entry'!AX8</f>
        <v>0</v>
      </c>
      <c r="I23" s="561">
        <f>'MIlk-Data Entry'!BB8</f>
        <v>0</v>
      </c>
      <c r="J23" s="561">
        <f>'Food-Data Entry'!AC8</f>
        <v>0</v>
      </c>
      <c r="K23" s="561">
        <f>'Food-Data Entry'!AY8</f>
        <v>0</v>
      </c>
      <c r="L23" s="561">
        <f>'Food-Data Entry'!AZ8</f>
        <v>0</v>
      </c>
      <c r="M23" s="561">
        <f>'MIlk-Data Entry'!BD8</f>
        <v>0</v>
      </c>
      <c r="N23" s="1168" t="str">
        <f>IF(D23="---",0,IF(C23="Holiday","---",VLOOKUP(C23,$Q$22:R28,2,0)))</f>
        <v>---</v>
      </c>
      <c r="O23" s="1169"/>
      <c r="P23" s="192">
        <f>'School Info'!E21</f>
        <v>20</v>
      </c>
      <c r="Q23" s="188" t="str">
        <f>'Food-Data Entry'!B21</f>
        <v>Tuesday</v>
      </c>
      <c r="R23" s="188" t="str">
        <f>CONCATENATE('Food-Data Entry'!E21," ","&amp;"," ",'Food-Data Entry'!H21)</f>
        <v xml:space="preserve">चावल एवं दाल/सब्जी &amp; दूध </v>
      </c>
      <c r="S23" s="188">
        <f t="shared" ref="S23:S52" si="4">IF(F23&gt;0,1,0)</f>
        <v>0</v>
      </c>
      <c r="T23" s="188">
        <f t="shared" si="0"/>
        <v>0</v>
      </c>
      <c r="U23" s="188">
        <f t="shared" si="0"/>
        <v>0</v>
      </c>
      <c r="V23" s="188">
        <f t="shared" si="0"/>
        <v>0</v>
      </c>
      <c r="W23" s="188">
        <f t="shared" si="0"/>
        <v>0</v>
      </c>
      <c r="X23" s="188">
        <f t="shared" si="0"/>
        <v>0</v>
      </c>
      <c r="Y23" s="188">
        <f t="shared" si="0"/>
        <v>0</v>
      </c>
      <c r="Z23" s="188">
        <f t="shared" si="0"/>
        <v>0</v>
      </c>
      <c r="AC23" s="433">
        <f t="shared" ref="AC23:AC52" si="5">IF(OR(N23="रोटी - दाल+दुग्ध",N23="रोटी - सब्जी",N23="रोटी - सब्जी+फल",N23="रोटी - दाल"),1,0)</f>
        <v>0</v>
      </c>
      <c r="AD23" s="433">
        <f t="shared" ref="AD23:AD52" si="6">IF(OR(N23="रोटी - दाल+दुग्ध",N23="खिचडी",N23="खिचडी+दुग्ध",N23="चावल एवं दाल/सब्जी+दुग्ध",N23="रोटी - दाल",N23="चावल एवं दाल/सब्जी"),1,0)</f>
        <v>0</v>
      </c>
      <c r="AE23" s="433">
        <f t="shared" ref="AE23:AE52" si="7">IF(OR(N23="चावल एवं दाल/सब्जी+दुग्ध",N23="चावल एवं दाल/सब्जी",N23="रोटी - सब्जी+फल",N23="रोटी - सब्जी"),1,0)</f>
        <v>0</v>
      </c>
      <c r="AF23" s="433">
        <f t="shared" ref="AF23:AF52" si="8">IF(B23="Monday",1,0)</f>
        <v>0</v>
      </c>
      <c r="AG23" s="433"/>
      <c r="AH23" s="433">
        <f t="shared" ref="AH23:AH52" si="9">IF(AC23=1,$F23,0)</f>
        <v>0</v>
      </c>
      <c r="AI23" s="433">
        <f t="shared" ref="AI23:AI52" si="10">IF(AD23=1,$F23,0)</f>
        <v>0</v>
      </c>
      <c r="AJ23" s="433">
        <f t="shared" ref="AJ23:AJ52" si="11">IF(AE23=1,$F23,0)</f>
        <v>0</v>
      </c>
      <c r="AK23" s="433">
        <f t="shared" ref="AK23:AK52" si="12">IF(AF23=1,$F23,0)</f>
        <v>0</v>
      </c>
      <c r="AL23" s="433"/>
      <c r="AM23" s="433">
        <f t="shared" ref="AM23:AM52" si="13">IF(AC23=1,$J23,0)</f>
        <v>0</v>
      </c>
      <c r="AN23" s="433">
        <f t="shared" ref="AN23:AN52" si="14">IF(AD23=1,$J23,0)</f>
        <v>0</v>
      </c>
      <c r="AO23" s="433">
        <f t="shared" ref="AO23:AO52" si="15">IF(AE23=1,$J23,0)</f>
        <v>0</v>
      </c>
      <c r="AP23" s="433">
        <f t="shared" ref="AP23:AP52" si="16">IF(AF23=1,$J23,0)</f>
        <v>0</v>
      </c>
    </row>
    <row r="24" spans="1:42" ht="21.75" customHeight="1">
      <c r="A24" s="1238"/>
      <c r="B24" s="190" t="str">
        <f>IF('Food-Data Entry'!N9="खुला",'Food-Data Entry'!M9,'Food-Data Entry'!N9)</f>
        <v>Monday</v>
      </c>
      <c r="C24" s="190" t="str">
        <f>'Food-Data Entry'!O9</f>
        <v>Monday</v>
      </c>
      <c r="D24" s="361">
        <f>'Food-Data Entry'!L9</f>
        <v>45964</v>
      </c>
      <c r="E24" s="357" t="str">
        <f t="shared" si="3"/>
        <v>(Monday)</v>
      </c>
      <c r="F24" s="270">
        <f>'Food-Data Entry'!Z9</f>
        <v>101</v>
      </c>
      <c r="G24" s="561">
        <f>'Food-Data Entry'!AW9</f>
        <v>10.1</v>
      </c>
      <c r="H24" s="561">
        <f>'Food-Data Entry'!AX9</f>
        <v>0</v>
      </c>
      <c r="I24" s="561">
        <f>'MIlk-Data Entry'!BB9</f>
        <v>0</v>
      </c>
      <c r="J24" s="561">
        <f>'Food-Data Entry'!AC9</f>
        <v>12</v>
      </c>
      <c r="K24" s="561">
        <f>'Food-Data Entry'!AY9</f>
        <v>1.8</v>
      </c>
      <c r="L24" s="561">
        <f>'Food-Data Entry'!AZ9</f>
        <v>0</v>
      </c>
      <c r="M24" s="561">
        <f>'MIlk-Data Entry'!BD9</f>
        <v>0</v>
      </c>
      <c r="N24" s="1168" t="str">
        <f>IF(D24="---",0,IF(C24="Holiday","---",VLOOKUP(C24,$Q$22:R29,2,0)))</f>
        <v>रोटी -दाल, सब्जी &amp;  दुग्ध</v>
      </c>
      <c r="O24" s="1169"/>
      <c r="P24" s="192">
        <f>'School Info'!E18</f>
        <v>150</v>
      </c>
      <c r="Q24" s="188" t="str">
        <f>'Food-Data Entry'!B22</f>
        <v>Wednesday</v>
      </c>
      <c r="R24" s="188" t="str">
        <f>CONCATENATE('Food-Data Entry'!E22," ","&amp;"," ",'Food-Data Entry'!H22)</f>
        <v xml:space="preserve">रोटी -दाल, सब्जी &amp; दूध </v>
      </c>
      <c r="S24" s="188">
        <f t="shared" si="4"/>
        <v>1</v>
      </c>
      <c r="T24" s="188">
        <f t="shared" si="0"/>
        <v>1</v>
      </c>
      <c r="U24" s="188">
        <f t="shared" si="0"/>
        <v>0</v>
      </c>
      <c r="V24" s="188">
        <f t="shared" si="0"/>
        <v>0</v>
      </c>
      <c r="W24" s="188">
        <f t="shared" si="0"/>
        <v>1</v>
      </c>
      <c r="X24" s="188">
        <f t="shared" si="0"/>
        <v>1</v>
      </c>
      <c r="Y24" s="188">
        <f t="shared" si="0"/>
        <v>0</v>
      </c>
      <c r="Z24" s="188">
        <f t="shared" si="0"/>
        <v>0</v>
      </c>
      <c r="AC24" s="433">
        <f t="shared" si="5"/>
        <v>0</v>
      </c>
      <c r="AD24" s="433">
        <f t="shared" si="6"/>
        <v>0</v>
      </c>
      <c r="AE24" s="433">
        <f t="shared" si="7"/>
        <v>0</v>
      </c>
      <c r="AF24" s="433">
        <f t="shared" si="8"/>
        <v>1</v>
      </c>
      <c r="AG24" s="433"/>
      <c r="AH24" s="433">
        <f t="shared" si="9"/>
        <v>0</v>
      </c>
      <c r="AI24" s="433">
        <f t="shared" si="10"/>
        <v>0</v>
      </c>
      <c r="AJ24" s="433">
        <f t="shared" si="11"/>
        <v>0</v>
      </c>
      <c r="AK24" s="433">
        <f t="shared" si="12"/>
        <v>101</v>
      </c>
      <c r="AL24" s="433"/>
      <c r="AM24" s="433">
        <f t="shared" si="13"/>
        <v>0</v>
      </c>
      <c r="AN24" s="433">
        <f t="shared" si="14"/>
        <v>0</v>
      </c>
      <c r="AO24" s="433">
        <f t="shared" si="15"/>
        <v>0</v>
      </c>
      <c r="AP24" s="433">
        <f t="shared" si="16"/>
        <v>12</v>
      </c>
    </row>
    <row r="25" spans="1:42" ht="21.75" customHeight="1">
      <c r="A25" s="1238"/>
      <c r="B25" s="190" t="str">
        <f>IF('Food-Data Entry'!N10="खुला",'Food-Data Entry'!M10,'Food-Data Entry'!N10)</f>
        <v>Tuesday</v>
      </c>
      <c r="C25" s="190" t="str">
        <f>'Food-Data Entry'!O10</f>
        <v>Tuesday</v>
      </c>
      <c r="D25" s="361">
        <f>'Food-Data Entry'!L10</f>
        <v>45965</v>
      </c>
      <c r="E25" s="357" t="str">
        <f t="shared" si="3"/>
        <v>(Tuesday)</v>
      </c>
      <c r="F25" s="270">
        <f>'Food-Data Entry'!Z10</f>
        <v>25</v>
      </c>
      <c r="G25" s="561">
        <f>'Food-Data Entry'!AW10</f>
        <v>0</v>
      </c>
      <c r="H25" s="561">
        <f>'Food-Data Entry'!AX10</f>
        <v>2.5</v>
      </c>
      <c r="I25" s="561">
        <f>'MIlk-Data Entry'!BB10</f>
        <v>0</v>
      </c>
      <c r="J25" s="561">
        <f>'Food-Data Entry'!AC10</f>
        <v>12</v>
      </c>
      <c r="K25" s="561">
        <f>'Food-Data Entry'!AY10</f>
        <v>0</v>
      </c>
      <c r="L25" s="561">
        <f>'Food-Data Entry'!AZ10</f>
        <v>1.8</v>
      </c>
      <c r="M25" s="561">
        <f>'MIlk-Data Entry'!BD10</f>
        <v>0</v>
      </c>
      <c r="N25" s="1168" t="str">
        <f>IF(D25="---",0,IF(C25="Holiday","---",VLOOKUP(C25,$Q$22:R30,2,0)))</f>
        <v xml:space="preserve">चावल एवं दाल/सब्जी &amp; दूध </v>
      </c>
      <c r="O25" s="1169"/>
      <c r="P25" s="191"/>
      <c r="Q25" s="188" t="str">
        <f>'Food-Data Entry'!B23</f>
        <v>Thursday</v>
      </c>
      <c r="R25" s="188" t="str">
        <f>CONCATENATE('Food-Data Entry'!E23," ","&amp;"," ",'Food-Data Entry'!H23)</f>
        <v xml:space="preserve">खिचडी  (दाल,चावल,सब्जी आदि युक्त) &amp; दूध </v>
      </c>
      <c r="S25" s="188">
        <f t="shared" si="4"/>
        <v>1</v>
      </c>
      <c r="T25" s="188">
        <f t="shared" si="0"/>
        <v>0</v>
      </c>
      <c r="U25" s="188">
        <f t="shared" si="0"/>
        <v>1</v>
      </c>
      <c r="V25" s="188">
        <f t="shared" si="0"/>
        <v>0</v>
      </c>
      <c r="W25" s="188">
        <f t="shared" si="0"/>
        <v>1</v>
      </c>
      <c r="X25" s="188">
        <f t="shared" si="0"/>
        <v>0</v>
      </c>
      <c r="Y25" s="188">
        <f t="shared" si="0"/>
        <v>1</v>
      </c>
      <c r="Z25" s="188">
        <f t="shared" si="0"/>
        <v>0</v>
      </c>
      <c r="AC25" s="433">
        <f t="shared" si="5"/>
        <v>0</v>
      </c>
      <c r="AD25" s="433">
        <f t="shared" si="6"/>
        <v>0</v>
      </c>
      <c r="AE25" s="433">
        <f t="shared" si="7"/>
        <v>0</v>
      </c>
      <c r="AF25" s="433">
        <f t="shared" si="8"/>
        <v>0</v>
      </c>
      <c r="AG25" s="433"/>
      <c r="AH25" s="433">
        <f t="shared" si="9"/>
        <v>0</v>
      </c>
      <c r="AI25" s="433">
        <f t="shared" si="10"/>
        <v>0</v>
      </c>
      <c r="AJ25" s="433">
        <f t="shared" si="11"/>
        <v>0</v>
      </c>
      <c r="AK25" s="433">
        <f t="shared" si="12"/>
        <v>0</v>
      </c>
      <c r="AL25" s="433"/>
      <c r="AM25" s="433">
        <f t="shared" si="13"/>
        <v>0</v>
      </c>
      <c r="AN25" s="433">
        <f t="shared" si="14"/>
        <v>0</v>
      </c>
      <c r="AO25" s="433">
        <f t="shared" si="15"/>
        <v>0</v>
      </c>
      <c r="AP25" s="433">
        <f t="shared" si="16"/>
        <v>0</v>
      </c>
    </row>
    <row r="26" spans="1:42" ht="21.75" customHeight="1">
      <c r="A26" s="1238"/>
      <c r="B26" s="190" t="str">
        <f>IF('Food-Data Entry'!N11="खुला",'Food-Data Entry'!M11,'Food-Data Entry'!N11)</f>
        <v>Wednesday</v>
      </c>
      <c r="C26" s="190" t="str">
        <f>'Food-Data Entry'!O11</f>
        <v>Wednesday</v>
      </c>
      <c r="D26" s="361">
        <f>'Food-Data Entry'!L11</f>
        <v>45966</v>
      </c>
      <c r="E26" s="357" t="str">
        <f t="shared" si="3"/>
        <v>(Wednesday)</v>
      </c>
      <c r="F26" s="270">
        <f>'Food-Data Entry'!Z11</f>
        <v>25</v>
      </c>
      <c r="G26" s="561">
        <f>'Food-Data Entry'!AW11</f>
        <v>2.5</v>
      </c>
      <c r="H26" s="561">
        <f>'Food-Data Entry'!AX11</f>
        <v>0</v>
      </c>
      <c r="I26" s="561">
        <f>'MIlk-Data Entry'!BB11</f>
        <v>0</v>
      </c>
      <c r="J26" s="561">
        <f>'Food-Data Entry'!AC11</f>
        <v>12</v>
      </c>
      <c r="K26" s="561">
        <f>'Food-Data Entry'!AY11</f>
        <v>1.8</v>
      </c>
      <c r="L26" s="561">
        <f>'Food-Data Entry'!AZ11</f>
        <v>0</v>
      </c>
      <c r="M26" s="561">
        <f>'MIlk-Data Entry'!BD11</f>
        <v>0</v>
      </c>
      <c r="N26" s="1168" t="str">
        <f>IF(D26="---",0,IF(C26="Holiday","---",VLOOKUP(C26,$Q$22:R31,2,0)))</f>
        <v xml:space="preserve">रोटी -दाल, सब्जी &amp; दूध </v>
      </c>
      <c r="O26" s="1169"/>
      <c r="P26" s="191"/>
      <c r="Q26" s="188" t="str">
        <f>'Food-Data Entry'!B24</f>
        <v>Friday</v>
      </c>
      <c r="R26" s="188" t="str">
        <f>CONCATENATE('Food-Data Entry'!E24," ","&amp;"," ",'Food-Data Entry'!H24)</f>
        <v xml:space="preserve">रोटी -दाल, सब्जी &amp; दूध </v>
      </c>
      <c r="S26" s="188">
        <f t="shared" si="4"/>
        <v>1</v>
      </c>
      <c r="T26" s="188">
        <f t="shared" si="0"/>
        <v>1</v>
      </c>
      <c r="U26" s="188">
        <f t="shared" si="0"/>
        <v>0</v>
      </c>
      <c r="V26" s="188">
        <f t="shared" si="0"/>
        <v>0</v>
      </c>
      <c r="W26" s="188">
        <f t="shared" si="0"/>
        <v>1</v>
      </c>
      <c r="X26" s="188">
        <f t="shared" si="0"/>
        <v>1</v>
      </c>
      <c r="Y26" s="188">
        <f t="shared" si="0"/>
        <v>0</v>
      </c>
      <c r="Z26" s="188">
        <f t="shared" si="0"/>
        <v>0</v>
      </c>
      <c r="AC26" s="433">
        <f t="shared" si="5"/>
        <v>0</v>
      </c>
      <c r="AD26" s="433">
        <f t="shared" si="6"/>
        <v>0</v>
      </c>
      <c r="AE26" s="433">
        <f t="shared" si="7"/>
        <v>0</v>
      </c>
      <c r="AF26" s="433">
        <f t="shared" si="8"/>
        <v>0</v>
      </c>
      <c r="AG26" s="433"/>
      <c r="AH26" s="433">
        <f t="shared" si="9"/>
        <v>0</v>
      </c>
      <c r="AI26" s="433">
        <f t="shared" si="10"/>
        <v>0</v>
      </c>
      <c r="AJ26" s="433">
        <f t="shared" si="11"/>
        <v>0</v>
      </c>
      <c r="AK26" s="433">
        <f t="shared" si="12"/>
        <v>0</v>
      </c>
      <c r="AL26" s="433"/>
      <c r="AM26" s="433">
        <f t="shared" si="13"/>
        <v>0</v>
      </c>
      <c r="AN26" s="433">
        <f t="shared" si="14"/>
        <v>0</v>
      </c>
      <c r="AO26" s="433">
        <f t="shared" si="15"/>
        <v>0</v>
      </c>
      <c r="AP26" s="433">
        <f t="shared" si="16"/>
        <v>0</v>
      </c>
    </row>
    <row r="27" spans="1:42" ht="21.75" customHeight="1">
      <c r="A27" s="1238"/>
      <c r="B27" s="190" t="str">
        <f>IF('Food-Data Entry'!N12="खुला",'Food-Data Entry'!M12,'Food-Data Entry'!N12)</f>
        <v>Thursday</v>
      </c>
      <c r="C27" s="190" t="str">
        <f>'Food-Data Entry'!O12</f>
        <v>Thursday</v>
      </c>
      <c r="D27" s="361">
        <f>'Food-Data Entry'!L12</f>
        <v>45967</v>
      </c>
      <c r="E27" s="357" t="str">
        <f t="shared" si="3"/>
        <v>(Thursday)</v>
      </c>
      <c r="F27" s="270">
        <f>'Food-Data Entry'!Z12</f>
        <v>25</v>
      </c>
      <c r="G27" s="561">
        <f>'Food-Data Entry'!AW12</f>
        <v>0</v>
      </c>
      <c r="H27" s="561">
        <f>'Food-Data Entry'!AX12</f>
        <v>2.5</v>
      </c>
      <c r="I27" s="561">
        <f>'MIlk-Data Entry'!BB12</f>
        <v>0</v>
      </c>
      <c r="J27" s="561">
        <f>'Food-Data Entry'!AC12</f>
        <v>12</v>
      </c>
      <c r="K27" s="561">
        <f>'Food-Data Entry'!AY12</f>
        <v>0</v>
      </c>
      <c r="L27" s="561">
        <f>'Food-Data Entry'!AZ12</f>
        <v>1.8</v>
      </c>
      <c r="M27" s="561">
        <f>'MIlk-Data Entry'!BD12</f>
        <v>0</v>
      </c>
      <c r="N27" s="1168" t="str">
        <f>IF(D27="---",0,IF(C27="Holiday","---",VLOOKUP(C27,$Q$22:R32,2,0)))</f>
        <v xml:space="preserve">खिचडी  (दाल,चावल,सब्जी आदि युक्त) &amp; दूध </v>
      </c>
      <c r="O27" s="1169"/>
      <c r="P27" s="191"/>
      <c r="Q27" s="188" t="str">
        <f>'Food-Data Entry'!B25</f>
        <v>Saturday</v>
      </c>
      <c r="R27" s="188" t="str">
        <f>CONCATENATE('Food-Data Entry'!E25," ","&amp;"," ",'Food-Data Entry'!H25)</f>
        <v xml:space="preserve">रोटी -दाल, सब्जी &amp; दूध </v>
      </c>
      <c r="S27" s="188">
        <f t="shared" si="4"/>
        <v>1</v>
      </c>
      <c r="T27" s="188">
        <f t="shared" si="0"/>
        <v>0</v>
      </c>
      <c r="U27" s="188">
        <f t="shared" si="0"/>
        <v>1</v>
      </c>
      <c r="V27" s="188">
        <f t="shared" si="0"/>
        <v>0</v>
      </c>
      <c r="W27" s="188">
        <f t="shared" si="0"/>
        <v>1</v>
      </c>
      <c r="X27" s="188">
        <f t="shared" si="0"/>
        <v>0</v>
      </c>
      <c r="Y27" s="188">
        <f t="shared" si="0"/>
        <v>1</v>
      </c>
      <c r="Z27" s="188">
        <f t="shared" si="0"/>
        <v>0</v>
      </c>
      <c r="AC27" s="433">
        <f t="shared" si="5"/>
        <v>0</v>
      </c>
      <c r="AD27" s="433">
        <f t="shared" si="6"/>
        <v>0</v>
      </c>
      <c r="AE27" s="433">
        <f t="shared" si="7"/>
        <v>0</v>
      </c>
      <c r="AF27" s="433">
        <f t="shared" si="8"/>
        <v>0</v>
      </c>
      <c r="AG27" s="433"/>
      <c r="AH27" s="433">
        <f t="shared" si="9"/>
        <v>0</v>
      </c>
      <c r="AI27" s="433">
        <f t="shared" si="10"/>
        <v>0</v>
      </c>
      <c r="AJ27" s="433">
        <f t="shared" si="11"/>
        <v>0</v>
      </c>
      <c r="AK27" s="433">
        <f t="shared" si="12"/>
        <v>0</v>
      </c>
      <c r="AL27" s="433"/>
      <c r="AM27" s="433">
        <f t="shared" si="13"/>
        <v>0</v>
      </c>
      <c r="AN27" s="433">
        <f t="shared" si="14"/>
        <v>0</v>
      </c>
      <c r="AO27" s="433">
        <f t="shared" si="15"/>
        <v>0</v>
      </c>
      <c r="AP27" s="433">
        <f t="shared" si="16"/>
        <v>0</v>
      </c>
    </row>
    <row r="28" spans="1:42" ht="21.75" customHeight="1">
      <c r="A28" s="1238"/>
      <c r="B28" s="190" t="str">
        <f>IF('Food-Data Entry'!N13="खुला",'Food-Data Entry'!M13,'Food-Data Entry'!N13)</f>
        <v>Friday</v>
      </c>
      <c r="C28" s="190" t="str">
        <f>'Food-Data Entry'!O13</f>
        <v>Friday</v>
      </c>
      <c r="D28" s="361">
        <f>'Food-Data Entry'!L13</f>
        <v>45968</v>
      </c>
      <c r="E28" s="357" t="str">
        <f t="shared" si="3"/>
        <v>(Friday)</v>
      </c>
      <c r="F28" s="270">
        <f>'Food-Data Entry'!Z13</f>
        <v>25</v>
      </c>
      <c r="G28" s="561">
        <f>'Food-Data Entry'!AW13</f>
        <v>2.5</v>
      </c>
      <c r="H28" s="561">
        <f>'Food-Data Entry'!AX13</f>
        <v>0</v>
      </c>
      <c r="I28" s="561">
        <f>'MIlk-Data Entry'!BB13</f>
        <v>0</v>
      </c>
      <c r="J28" s="561">
        <f>'Food-Data Entry'!AC13</f>
        <v>12</v>
      </c>
      <c r="K28" s="561">
        <f>'Food-Data Entry'!AY13</f>
        <v>1.8</v>
      </c>
      <c r="L28" s="561">
        <f>'Food-Data Entry'!AZ13</f>
        <v>0</v>
      </c>
      <c r="M28" s="561">
        <f>'MIlk-Data Entry'!BD13</f>
        <v>0</v>
      </c>
      <c r="N28" s="1168" t="str">
        <f>IF(D28="---",0,IF(C28="Holiday","---",VLOOKUP(C28,$Q$22:R33,2,0)))</f>
        <v xml:space="preserve">रोटी -दाल, सब्जी &amp; दूध </v>
      </c>
      <c r="O28" s="1169"/>
      <c r="P28" s="191"/>
      <c r="S28" s="188">
        <f t="shared" si="4"/>
        <v>1</v>
      </c>
      <c r="T28" s="188">
        <f t="shared" si="0"/>
        <v>1</v>
      </c>
      <c r="U28" s="188">
        <f t="shared" si="0"/>
        <v>0</v>
      </c>
      <c r="V28" s="188">
        <f t="shared" si="0"/>
        <v>0</v>
      </c>
      <c r="W28" s="188">
        <f t="shared" si="0"/>
        <v>1</v>
      </c>
      <c r="X28" s="188">
        <f t="shared" si="0"/>
        <v>1</v>
      </c>
      <c r="Y28" s="188">
        <f t="shared" si="0"/>
        <v>0</v>
      </c>
      <c r="Z28" s="188">
        <f t="shared" si="0"/>
        <v>0</v>
      </c>
      <c r="AC28" s="433">
        <f t="shared" si="5"/>
        <v>0</v>
      </c>
      <c r="AD28" s="433">
        <f t="shared" si="6"/>
        <v>0</v>
      </c>
      <c r="AE28" s="433">
        <f t="shared" si="7"/>
        <v>0</v>
      </c>
      <c r="AF28" s="433">
        <f t="shared" si="8"/>
        <v>0</v>
      </c>
      <c r="AG28" s="433"/>
      <c r="AH28" s="433">
        <f t="shared" si="9"/>
        <v>0</v>
      </c>
      <c r="AI28" s="433">
        <f t="shared" si="10"/>
        <v>0</v>
      </c>
      <c r="AJ28" s="433">
        <f t="shared" si="11"/>
        <v>0</v>
      </c>
      <c r="AK28" s="433">
        <f t="shared" si="12"/>
        <v>0</v>
      </c>
      <c r="AL28" s="433"/>
      <c r="AM28" s="433">
        <f t="shared" si="13"/>
        <v>0</v>
      </c>
      <c r="AN28" s="433">
        <f t="shared" si="14"/>
        <v>0</v>
      </c>
      <c r="AO28" s="433">
        <f t="shared" si="15"/>
        <v>0</v>
      </c>
      <c r="AP28" s="433">
        <f t="shared" si="16"/>
        <v>0</v>
      </c>
    </row>
    <row r="29" spans="1:42" ht="21.75" customHeight="1">
      <c r="A29" s="1238"/>
      <c r="B29" s="190" t="str">
        <f>IF('Food-Data Entry'!N14="खुला",'Food-Data Entry'!M14,'Food-Data Entry'!N14)</f>
        <v>Saturday</v>
      </c>
      <c r="C29" s="190" t="str">
        <f>'Food-Data Entry'!O14</f>
        <v>Saturday</v>
      </c>
      <c r="D29" s="361">
        <f>'Food-Data Entry'!L14</f>
        <v>45969</v>
      </c>
      <c r="E29" s="357" t="str">
        <f t="shared" si="3"/>
        <v>(Saturday)</v>
      </c>
      <c r="F29" s="270">
        <f>'Food-Data Entry'!Z14</f>
        <v>25</v>
      </c>
      <c r="G29" s="561">
        <f>'Food-Data Entry'!AW14</f>
        <v>2.5</v>
      </c>
      <c r="H29" s="561">
        <f>'Food-Data Entry'!AX14</f>
        <v>0</v>
      </c>
      <c r="I29" s="561">
        <f>'MIlk-Data Entry'!BB14</f>
        <v>0</v>
      </c>
      <c r="J29" s="561">
        <f>'Food-Data Entry'!AC14</f>
        <v>12</v>
      </c>
      <c r="K29" s="561">
        <f>'Food-Data Entry'!AY14</f>
        <v>1.8</v>
      </c>
      <c r="L29" s="561">
        <f>'Food-Data Entry'!AZ14</f>
        <v>0</v>
      </c>
      <c r="M29" s="561">
        <f>'MIlk-Data Entry'!BD14</f>
        <v>0</v>
      </c>
      <c r="N29" s="1168" t="str">
        <f>IF(D29="---",0,IF(C29="Holiday","---",VLOOKUP(C29,$Q$22:R34,2,0)))</f>
        <v xml:space="preserve">रोटी -दाल, सब्जी &amp; दूध </v>
      </c>
      <c r="O29" s="1169"/>
      <c r="P29" s="191"/>
      <c r="R29" s="191"/>
      <c r="S29" s="188">
        <f t="shared" si="4"/>
        <v>1</v>
      </c>
      <c r="T29" s="188">
        <f t="shared" si="0"/>
        <v>1</v>
      </c>
      <c r="U29" s="188">
        <f t="shared" si="0"/>
        <v>0</v>
      </c>
      <c r="V29" s="188">
        <f t="shared" si="0"/>
        <v>0</v>
      </c>
      <c r="W29" s="188">
        <f t="shared" si="0"/>
        <v>1</v>
      </c>
      <c r="X29" s="188">
        <f t="shared" si="0"/>
        <v>1</v>
      </c>
      <c r="Y29" s="188">
        <f t="shared" si="0"/>
        <v>0</v>
      </c>
      <c r="Z29" s="188">
        <f t="shared" si="0"/>
        <v>0</v>
      </c>
      <c r="AC29" s="433">
        <f t="shared" si="5"/>
        <v>0</v>
      </c>
      <c r="AD29" s="433">
        <f t="shared" si="6"/>
        <v>0</v>
      </c>
      <c r="AE29" s="433">
        <f t="shared" si="7"/>
        <v>0</v>
      </c>
      <c r="AF29" s="433">
        <f t="shared" si="8"/>
        <v>0</v>
      </c>
      <c r="AG29" s="433"/>
      <c r="AH29" s="433">
        <f t="shared" si="9"/>
        <v>0</v>
      </c>
      <c r="AI29" s="433">
        <f t="shared" si="10"/>
        <v>0</v>
      </c>
      <c r="AJ29" s="433">
        <f t="shared" si="11"/>
        <v>0</v>
      </c>
      <c r="AK29" s="433">
        <f t="shared" si="12"/>
        <v>0</v>
      </c>
      <c r="AL29" s="433"/>
      <c r="AM29" s="433">
        <f t="shared" si="13"/>
        <v>0</v>
      </c>
      <c r="AN29" s="433">
        <f t="shared" si="14"/>
        <v>0</v>
      </c>
      <c r="AO29" s="433">
        <f t="shared" si="15"/>
        <v>0</v>
      </c>
      <c r="AP29" s="433">
        <f t="shared" si="16"/>
        <v>0</v>
      </c>
    </row>
    <row r="30" spans="1:42" ht="21.75" customHeight="1">
      <c r="A30" s="1238"/>
      <c r="B30" s="190" t="str">
        <f>IF('Food-Data Entry'!N15="खुला",'Food-Data Entry'!M15,'Food-Data Entry'!N15)</f>
        <v>रवि॰अव॰</v>
      </c>
      <c r="C30" s="190" t="str">
        <f>'Food-Data Entry'!O15</f>
        <v>Holiday</v>
      </c>
      <c r="D30" s="361">
        <f>'Food-Data Entry'!L15</f>
        <v>45970</v>
      </c>
      <c r="E30" s="357" t="str">
        <f t="shared" si="3"/>
        <v>(रवि॰अव॰)</v>
      </c>
      <c r="F30" s="270">
        <f>'Food-Data Entry'!Z15</f>
        <v>0</v>
      </c>
      <c r="G30" s="561">
        <f>'Food-Data Entry'!AW15</f>
        <v>0</v>
      </c>
      <c r="H30" s="561">
        <f>'Food-Data Entry'!AX15</f>
        <v>0</v>
      </c>
      <c r="I30" s="561">
        <f>'MIlk-Data Entry'!BB15</f>
        <v>0</v>
      </c>
      <c r="J30" s="561">
        <f>'Food-Data Entry'!AC15</f>
        <v>0</v>
      </c>
      <c r="K30" s="561">
        <f>'Food-Data Entry'!AY15</f>
        <v>0</v>
      </c>
      <c r="L30" s="561">
        <f>'Food-Data Entry'!AZ15</f>
        <v>0</v>
      </c>
      <c r="M30" s="561">
        <f>'MIlk-Data Entry'!BD15</f>
        <v>0</v>
      </c>
      <c r="N30" s="1168" t="str">
        <f>IF(D30="---",0,IF(C30="Holiday","---",VLOOKUP(C30,$Q$22:R35,2,0)))</f>
        <v>---</v>
      </c>
      <c r="O30" s="1169"/>
      <c r="P30" s="191"/>
      <c r="R30" s="191"/>
      <c r="S30" s="188">
        <f t="shared" si="4"/>
        <v>0</v>
      </c>
      <c r="T30" s="188">
        <f t="shared" si="0"/>
        <v>0</v>
      </c>
      <c r="U30" s="188">
        <f t="shared" si="0"/>
        <v>0</v>
      </c>
      <c r="V30" s="188">
        <f t="shared" si="0"/>
        <v>0</v>
      </c>
      <c r="W30" s="188">
        <f t="shared" si="0"/>
        <v>0</v>
      </c>
      <c r="X30" s="188">
        <f t="shared" si="0"/>
        <v>0</v>
      </c>
      <c r="Y30" s="188">
        <f t="shared" si="0"/>
        <v>0</v>
      </c>
      <c r="Z30" s="188">
        <f t="shared" si="0"/>
        <v>0</v>
      </c>
      <c r="AC30" s="433">
        <f t="shared" si="5"/>
        <v>0</v>
      </c>
      <c r="AD30" s="433">
        <f t="shared" si="6"/>
        <v>0</v>
      </c>
      <c r="AE30" s="433">
        <f t="shared" si="7"/>
        <v>0</v>
      </c>
      <c r="AF30" s="433">
        <f t="shared" si="8"/>
        <v>0</v>
      </c>
      <c r="AG30" s="433"/>
      <c r="AH30" s="433">
        <f t="shared" si="9"/>
        <v>0</v>
      </c>
      <c r="AI30" s="433">
        <f t="shared" si="10"/>
        <v>0</v>
      </c>
      <c r="AJ30" s="433">
        <f t="shared" si="11"/>
        <v>0</v>
      </c>
      <c r="AK30" s="433">
        <f t="shared" si="12"/>
        <v>0</v>
      </c>
      <c r="AL30" s="433"/>
      <c r="AM30" s="433">
        <f t="shared" si="13"/>
        <v>0</v>
      </c>
      <c r="AN30" s="433">
        <f t="shared" si="14"/>
        <v>0</v>
      </c>
      <c r="AO30" s="433">
        <f t="shared" si="15"/>
        <v>0</v>
      </c>
      <c r="AP30" s="433">
        <f t="shared" si="16"/>
        <v>0</v>
      </c>
    </row>
    <row r="31" spans="1:42" ht="21.75" customHeight="1">
      <c r="A31" s="1238"/>
      <c r="B31" s="190" t="str">
        <f>IF('Food-Data Entry'!N16="खुला",'Food-Data Entry'!M16,'Food-Data Entry'!N16)</f>
        <v>Monday</v>
      </c>
      <c r="C31" s="190" t="str">
        <f>'Food-Data Entry'!O16</f>
        <v>Monday</v>
      </c>
      <c r="D31" s="361">
        <f>'Food-Data Entry'!L16</f>
        <v>45971</v>
      </c>
      <c r="E31" s="357" t="str">
        <f t="shared" si="3"/>
        <v>(Monday)</v>
      </c>
      <c r="F31" s="270">
        <f>'Food-Data Entry'!Z16</f>
        <v>25</v>
      </c>
      <c r="G31" s="561">
        <f>'Food-Data Entry'!AW16</f>
        <v>2.5</v>
      </c>
      <c r="H31" s="561">
        <f>'Food-Data Entry'!AX16</f>
        <v>0</v>
      </c>
      <c r="I31" s="561">
        <f>'MIlk-Data Entry'!BB16</f>
        <v>0</v>
      </c>
      <c r="J31" s="561">
        <f>'Food-Data Entry'!AC16</f>
        <v>12</v>
      </c>
      <c r="K31" s="561">
        <f>'Food-Data Entry'!AY16</f>
        <v>1.8</v>
      </c>
      <c r="L31" s="561">
        <f>'Food-Data Entry'!AZ16</f>
        <v>0</v>
      </c>
      <c r="M31" s="561">
        <f>'MIlk-Data Entry'!BD16</f>
        <v>0</v>
      </c>
      <c r="N31" s="1164" t="str">
        <f>IF(D31="---",0,IF(C31="Holiday","---",VLOOKUP(C31,$Q$22:R36,2,0)))</f>
        <v>रोटी -दाल, सब्जी &amp;  दुग्ध</v>
      </c>
      <c r="O31" s="1165"/>
      <c r="P31" s="191"/>
      <c r="R31" s="191"/>
      <c r="S31" s="188">
        <f t="shared" si="4"/>
        <v>1</v>
      </c>
      <c r="T31" s="188">
        <f t="shared" si="0"/>
        <v>1</v>
      </c>
      <c r="U31" s="188">
        <f t="shared" si="0"/>
        <v>0</v>
      </c>
      <c r="V31" s="188">
        <f t="shared" si="0"/>
        <v>0</v>
      </c>
      <c r="W31" s="188">
        <f t="shared" si="0"/>
        <v>1</v>
      </c>
      <c r="X31" s="188">
        <f t="shared" si="0"/>
        <v>1</v>
      </c>
      <c r="Y31" s="188">
        <f t="shared" si="0"/>
        <v>0</v>
      </c>
      <c r="Z31" s="188">
        <f t="shared" si="0"/>
        <v>0</v>
      </c>
      <c r="AC31" s="433">
        <f t="shared" si="5"/>
        <v>0</v>
      </c>
      <c r="AD31" s="433">
        <f t="shared" si="6"/>
        <v>0</v>
      </c>
      <c r="AE31" s="433">
        <f t="shared" si="7"/>
        <v>0</v>
      </c>
      <c r="AF31" s="433">
        <f t="shared" si="8"/>
        <v>1</v>
      </c>
      <c r="AG31" s="433"/>
      <c r="AH31" s="433">
        <f t="shared" si="9"/>
        <v>0</v>
      </c>
      <c r="AI31" s="433">
        <f t="shared" si="10"/>
        <v>0</v>
      </c>
      <c r="AJ31" s="433">
        <f t="shared" si="11"/>
        <v>0</v>
      </c>
      <c r="AK31" s="433">
        <f t="shared" si="12"/>
        <v>25</v>
      </c>
      <c r="AL31" s="433"/>
      <c r="AM31" s="433">
        <f t="shared" si="13"/>
        <v>0</v>
      </c>
      <c r="AN31" s="433">
        <f t="shared" si="14"/>
        <v>0</v>
      </c>
      <c r="AO31" s="433">
        <f t="shared" si="15"/>
        <v>0</v>
      </c>
      <c r="AP31" s="433">
        <f t="shared" si="16"/>
        <v>12</v>
      </c>
    </row>
    <row r="32" spans="1:42" ht="21.75" customHeight="1">
      <c r="A32" s="1238"/>
      <c r="B32" s="190" t="str">
        <f>IF('Food-Data Entry'!N17="खुला",'Food-Data Entry'!M17,'Food-Data Entry'!N17)</f>
        <v>Tuesday</v>
      </c>
      <c r="C32" s="190" t="str">
        <f>'Food-Data Entry'!O17</f>
        <v>Tuesday</v>
      </c>
      <c r="D32" s="361">
        <f>'Food-Data Entry'!L17</f>
        <v>45972</v>
      </c>
      <c r="E32" s="357" t="str">
        <f t="shared" si="3"/>
        <v>(Tuesday)</v>
      </c>
      <c r="F32" s="270">
        <f>'Food-Data Entry'!Z17</f>
        <v>25</v>
      </c>
      <c r="G32" s="561">
        <f>'Food-Data Entry'!AW17</f>
        <v>0</v>
      </c>
      <c r="H32" s="561">
        <f>'Food-Data Entry'!AX17</f>
        <v>2.5</v>
      </c>
      <c r="I32" s="561">
        <f>'MIlk-Data Entry'!BB17</f>
        <v>0</v>
      </c>
      <c r="J32" s="561">
        <f>'Food-Data Entry'!AC17</f>
        <v>12</v>
      </c>
      <c r="K32" s="561">
        <f>'Food-Data Entry'!AY17</f>
        <v>0</v>
      </c>
      <c r="L32" s="561">
        <f>'Food-Data Entry'!AZ17</f>
        <v>1.8</v>
      </c>
      <c r="M32" s="561">
        <f>'MIlk-Data Entry'!BD17</f>
        <v>0</v>
      </c>
      <c r="N32" s="1164" t="str">
        <f>IF(D32="---",0,IF(C32="Holiday","---",VLOOKUP(C32,$Q$22:R37,2,0)))</f>
        <v xml:space="preserve">चावल एवं दाल/सब्जी &amp; दूध </v>
      </c>
      <c r="O32" s="1165"/>
      <c r="P32" s="191"/>
      <c r="R32" s="191"/>
      <c r="S32" s="188">
        <f t="shared" si="4"/>
        <v>1</v>
      </c>
      <c r="T32" s="188">
        <f t="shared" si="0"/>
        <v>0</v>
      </c>
      <c r="U32" s="188">
        <f t="shared" si="0"/>
        <v>1</v>
      </c>
      <c r="V32" s="188">
        <f t="shared" si="0"/>
        <v>0</v>
      </c>
      <c r="W32" s="188">
        <f t="shared" si="0"/>
        <v>1</v>
      </c>
      <c r="X32" s="188">
        <f t="shared" si="0"/>
        <v>0</v>
      </c>
      <c r="Y32" s="188">
        <f t="shared" si="0"/>
        <v>1</v>
      </c>
      <c r="Z32" s="188">
        <f t="shared" si="0"/>
        <v>0</v>
      </c>
      <c r="AC32" s="433">
        <f t="shared" si="5"/>
        <v>0</v>
      </c>
      <c r="AD32" s="433">
        <f t="shared" si="6"/>
        <v>0</v>
      </c>
      <c r="AE32" s="433">
        <f t="shared" si="7"/>
        <v>0</v>
      </c>
      <c r="AF32" s="433">
        <f t="shared" si="8"/>
        <v>0</v>
      </c>
      <c r="AG32" s="433"/>
      <c r="AH32" s="433">
        <f t="shared" si="9"/>
        <v>0</v>
      </c>
      <c r="AI32" s="433">
        <f t="shared" si="10"/>
        <v>0</v>
      </c>
      <c r="AJ32" s="433">
        <f t="shared" si="11"/>
        <v>0</v>
      </c>
      <c r="AK32" s="433">
        <f t="shared" si="12"/>
        <v>0</v>
      </c>
      <c r="AL32" s="433"/>
      <c r="AM32" s="433">
        <f t="shared" si="13"/>
        <v>0</v>
      </c>
      <c r="AN32" s="433">
        <f t="shared" si="14"/>
        <v>0</v>
      </c>
      <c r="AO32" s="433">
        <f t="shared" si="15"/>
        <v>0</v>
      </c>
      <c r="AP32" s="433">
        <f t="shared" si="16"/>
        <v>0</v>
      </c>
    </row>
    <row r="33" spans="1:42" ht="21.75" customHeight="1">
      <c r="A33" s="1238"/>
      <c r="B33" s="190" t="str">
        <f>IF('Food-Data Entry'!N18="खुला",'Food-Data Entry'!M18,'Food-Data Entry'!N18)</f>
        <v>Wednesday</v>
      </c>
      <c r="C33" s="190" t="str">
        <f>'Food-Data Entry'!O18</f>
        <v>Wednesday</v>
      </c>
      <c r="D33" s="361">
        <f>'Food-Data Entry'!L18</f>
        <v>45973</v>
      </c>
      <c r="E33" s="357" t="str">
        <f t="shared" si="3"/>
        <v>(Wednesday)</v>
      </c>
      <c r="F33" s="270">
        <f>'Food-Data Entry'!Z18</f>
        <v>25</v>
      </c>
      <c r="G33" s="561">
        <f>'Food-Data Entry'!AW18</f>
        <v>2.5</v>
      </c>
      <c r="H33" s="561">
        <f>'Food-Data Entry'!AX18</f>
        <v>0</v>
      </c>
      <c r="I33" s="561">
        <f>'MIlk-Data Entry'!BB18</f>
        <v>0</v>
      </c>
      <c r="J33" s="561">
        <f>'Food-Data Entry'!AC18</f>
        <v>12</v>
      </c>
      <c r="K33" s="561">
        <f>'Food-Data Entry'!AY18</f>
        <v>1.8</v>
      </c>
      <c r="L33" s="561">
        <f>'Food-Data Entry'!AZ18</f>
        <v>0</v>
      </c>
      <c r="M33" s="561">
        <f>'MIlk-Data Entry'!BD18</f>
        <v>0</v>
      </c>
      <c r="N33" s="1164" t="str">
        <f>IF(D33="---",0,IF(C33="Holiday","---",VLOOKUP(C33,$Q$22:R38,2,0)))</f>
        <v xml:space="preserve">रोटी -दाल, सब्जी &amp; दूध </v>
      </c>
      <c r="O33" s="1165"/>
      <c r="P33" s="191"/>
      <c r="R33" s="191"/>
      <c r="S33" s="188">
        <f t="shared" si="4"/>
        <v>1</v>
      </c>
      <c r="T33" s="188">
        <f t="shared" si="0"/>
        <v>1</v>
      </c>
      <c r="U33" s="188">
        <f t="shared" si="0"/>
        <v>0</v>
      </c>
      <c r="V33" s="188">
        <f t="shared" si="0"/>
        <v>0</v>
      </c>
      <c r="W33" s="188">
        <f t="shared" si="0"/>
        <v>1</v>
      </c>
      <c r="X33" s="188">
        <f t="shared" si="0"/>
        <v>1</v>
      </c>
      <c r="Y33" s="188">
        <f t="shared" si="0"/>
        <v>0</v>
      </c>
      <c r="Z33" s="188">
        <f t="shared" si="0"/>
        <v>0</v>
      </c>
      <c r="AC33" s="433">
        <f t="shared" si="5"/>
        <v>0</v>
      </c>
      <c r="AD33" s="433">
        <f t="shared" si="6"/>
        <v>0</v>
      </c>
      <c r="AE33" s="433">
        <f t="shared" si="7"/>
        <v>0</v>
      </c>
      <c r="AF33" s="433">
        <f t="shared" si="8"/>
        <v>0</v>
      </c>
      <c r="AG33" s="433"/>
      <c r="AH33" s="433">
        <f t="shared" si="9"/>
        <v>0</v>
      </c>
      <c r="AI33" s="433">
        <f t="shared" si="10"/>
        <v>0</v>
      </c>
      <c r="AJ33" s="433">
        <f t="shared" si="11"/>
        <v>0</v>
      </c>
      <c r="AK33" s="433">
        <f t="shared" si="12"/>
        <v>0</v>
      </c>
      <c r="AL33" s="433"/>
      <c r="AM33" s="433">
        <f t="shared" si="13"/>
        <v>0</v>
      </c>
      <c r="AN33" s="433">
        <f t="shared" si="14"/>
        <v>0</v>
      </c>
      <c r="AO33" s="433">
        <f t="shared" si="15"/>
        <v>0</v>
      </c>
      <c r="AP33" s="433">
        <f t="shared" si="16"/>
        <v>0</v>
      </c>
    </row>
    <row r="34" spans="1:42" ht="21.75" customHeight="1">
      <c r="A34" s="1238"/>
      <c r="B34" s="190" t="str">
        <f>IF('Food-Data Entry'!N19="खुला",'Food-Data Entry'!M19,'Food-Data Entry'!N19)</f>
        <v>Thursday</v>
      </c>
      <c r="C34" s="190" t="str">
        <f>'Food-Data Entry'!O19</f>
        <v>Thursday</v>
      </c>
      <c r="D34" s="361">
        <f>'Food-Data Entry'!L19</f>
        <v>45974</v>
      </c>
      <c r="E34" s="357" t="str">
        <f t="shared" si="3"/>
        <v>(Thursday)</v>
      </c>
      <c r="F34" s="270">
        <f>'Food-Data Entry'!Z19</f>
        <v>25</v>
      </c>
      <c r="G34" s="561">
        <f>'Food-Data Entry'!AW19</f>
        <v>0</v>
      </c>
      <c r="H34" s="561">
        <f>'Food-Data Entry'!AX19</f>
        <v>2.5</v>
      </c>
      <c r="I34" s="561">
        <f>'MIlk-Data Entry'!BB19</f>
        <v>0</v>
      </c>
      <c r="J34" s="561">
        <f>'Food-Data Entry'!AC19</f>
        <v>12</v>
      </c>
      <c r="K34" s="561">
        <f>'Food-Data Entry'!AY19</f>
        <v>0</v>
      </c>
      <c r="L34" s="561">
        <f>'Food-Data Entry'!AZ19</f>
        <v>1.8</v>
      </c>
      <c r="M34" s="561">
        <f>'MIlk-Data Entry'!BD19</f>
        <v>0</v>
      </c>
      <c r="N34" s="1164" t="str">
        <f>IF(D34="---",0,IF(C34="Holiday","---",VLOOKUP(C34,$Q$22:R39,2,0)))</f>
        <v xml:space="preserve">खिचडी  (दाल,चावल,सब्जी आदि युक्त) &amp; दूध </v>
      </c>
      <c r="O34" s="1165"/>
      <c r="P34" s="191"/>
      <c r="R34" s="191"/>
      <c r="S34" s="188">
        <f t="shared" si="4"/>
        <v>1</v>
      </c>
      <c r="T34" s="188">
        <f t="shared" si="0"/>
        <v>0</v>
      </c>
      <c r="U34" s="188">
        <f t="shared" si="0"/>
        <v>1</v>
      </c>
      <c r="V34" s="188">
        <f t="shared" si="0"/>
        <v>0</v>
      </c>
      <c r="W34" s="188">
        <f t="shared" si="0"/>
        <v>1</v>
      </c>
      <c r="X34" s="188">
        <f t="shared" si="0"/>
        <v>0</v>
      </c>
      <c r="Y34" s="188">
        <f t="shared" si="0"/>
        <v>1</v>
      </c>
      <c r="Z34" s="188">
        <f t="shared" si="0"/>
        <v>0</v>
      </c>
      <c r="AC34" s="433">
        <f t="shared" si="5"/>
        <v>0</v>
      </c>
      <c r="AD34" s="433">
        <f t="shared" si="6"/>
        <v>0</v>
      </c>
      <c r="AE34" s="433">
        <f t="shared" si="7"/>
        <v>0</v>
      </c>
      <c r="AF34" s="433">
        <f t="shared" si="8"/>
        <v>0</v>
      </c>
      <c r="AG34" s="433"/>
      <c r="AH34" s="433">
        <f t="shared" si="9"/>
        <v>0</v>
      </c>
      <c r="AI34" s="433">
        <f t="shared" si="10"/>
        <v>0</v>
      </c>
      <c r="AJ34" s="433">
        <f t="shared" si="11"/>
        <v>0</v>
      </c>
      <c r="AK34" s="433">
        <f t="shared" si="12"/>
        <v>0</v>
      </c>
      <c r="AL34" s="433"/>
      <c r="AM34" s="433">
        <f t="shared" si="13"/>
        <v>0</v>
      </c>
      <c r="AN34" s="433">
        <f t="shared" si="14"/>
        <v>0</v>
      </c>
      <c r="AO34" s="433">
        <f t="shared" si="15"/>
        <v>0</v>
      </c>
      <c r="AP34" s="433">
        <f t="shared" si="16"/>
        <v>0</v>
      </c>
    </row>
    <row r="35" spans="1:42" ht="21.75" customHeight="1">
      <c r="A35" s="1238"/>
      <c r="B35" s="190" t="str">
        <f>IF('Food-Data Entry'!N20="खुला",'Food-Data Entry'!M20,'Food-Data Entry'!N20)</f>
        <v>Friday</v>
      </c>
      <c r="C35" s="190" t="str">
        <f>'Food-Data Entry'!O20</f>
        <v>Friday</v>
      </c>
      <c r="D35" s="361">
        <f>'Food-Data Entry'!L20</f>
        <v>45975</v>
      </c>
      <c r="E35" s="357" t="str">
        <f t="shared" si="3"/>
        <v>(Friday)</v>
      </c>
      <c r="F35" s="270">
        <f>'Food-Data Entry'!Z20</f>
        <v>25</v>
      </c>
      <c r="G35" s="561">
        <f>'Food-Data Entry'!AW20</f>
        <v>2.5</v>
      </c>
      <c r="H35" s="561">
        <f>'Food-Data Entry'!AX20</f>
        <v>0</v>
      </c>
      <c r="I35" s="561">
        <f>'MIlk-Data Entry'!BB20</f>
        <v>0</v>
      </c>
      <c r="J35" s="561">
        <f>'Food-Data Entry'!AC20</f>
        <v>12</v>
      </c>
      <c r="K35" s="561">
        <f>'Food-Data Entry'!AY20</f>
        <v>1.8</v>
      </c>
      <c r="L35" s="561">
        <f>'Food-Data Entry'!AZ20</f>
        <v>0</v>
      </c>
      <c r="M35" s="561">
        <f>'MIlk-Data Entry'!BD20</f>
        <v>0</v>
      </c>
      <c r="N35" s="1164" t="str">
        <f>IF(D35="---",0,IF(C35="Holiday","---",VLOOKUP(C35,$Q$22:R40,2,0)))</f>
        <v xml:space="preserve">रोटी -दाल, सब्जी &amp; दूध </v>
      </c>
      <c r="O35" s="1165"/>
      <c r="P35" s="191"/>
      <c r="R35" s="191"/>
      <c r="S35" s="188">
        <f t="shared" si="4"/>
        <v>1</v>
      </c>
      <c r="T35" s="188">
        <f t="shared" si="0"/>
        <v>1</v>
      </c>
      <c r="U35" s="188">
        <f t="shared" si="0"/>
        <v>0</v>
      </c>
      <c r="V35" s="188">
        <f t="shared" si="0"/>
        <v>0</v>
      </c>
      <c r="W35" s="188">
        <f t="shared" si="0"/>
        <v>1</v>
      </c>
      <c r="X35" s="188">
        <f t="shared" si="0"/>
        <v>1</v>
      </c>
      <c r="Y35" s="188">
        <f t="shared" si="0"/>
        <v>0</v>
      </c>
      <c r="Z35" s="188">
        <f t="shared" si="0"/>
        <v>0</v>
      </c>
      <c r="AC35" s="433">
        <f t="shared" si="5"/>
        <v>0</v>
      </c>
      <c r="AD35" s="433">
        <f t="shared" si="6"/>
        <v>0</v>
      </c>
      <c r="AE35" s="433">
        <f t="shared" si="7"/>
        <v>0</v>
      </c>
      <c r="AF35" s="433">
        <f t="shared" si="8"/>
        <v>0</v>
      </c>
      <c r="AG35" s="433"/>
      <c r="AH35" s="433">
        <f t="shared" si="9"/>
        <v>0</v>
      </c>
      <c r="AI35" s="433">
        <f t="shared" si="10"/>
        <v>0</v>
      </c>
      <c r="AJ35" s="433">
        <f t="shared" si="11"/>
        <v>0</v>
      </c>
      <c r="AK35" s="433">
        <f t="shared" si="12"/>
        <v>0</v>
      </c>
      <c r="AL35" s="433"/>
      <c r="AM35" s="433">
        <f t="shared" si="13"/>
        <v>0</v>
      </c>
      <c r="AN35" s="433">
        <f t="shared" si="14"/>
        <v>0</v>
      </c>
      <c r="AO35" s="433">
        <f t="shared" si="15"/>
        <v>0</v>
      </c>
      <c r="AP35" s="433">
        <f t="shared" si="16"/>
        <v>0</v>
      </c>
    </row>
    <row r="36" spans="1:42" ht="21.75" customHeight="1">
      <c r="A36" s="1238"/>
      <c r="B36" s="190" t="str">
        <f>IF('Food-Data Entry'!N21="खुला",'Food-Data Entry'!M21,'Food-Data Entry'!N21)</f>
        <v>Saturday</v>
      </c>
      <c r="C36" s="190" t="str">
        <f>'Food-Data Entry'!O21</f>
        <v>Saturday</v>
      </c>
      <c r="D36" s="361">
        <f>'Food-Data Entry'!L21</f>
        <v>45976</v>
      </c>
      <c r="E36" s="357" t="str">
        <f t="shared" si="3"/>
        <v>(Saturday)</v>
      </c>
      <c r="F36" s="270">
        <f>'Food-Data Entry'!Z21</f>
        <v>25</v>
      </c>
      <c r="G36" s="561">
        <f>'Food-Data Entry'!AW21</f>
        <v>2.5</v>
      </c>
      <c r="H36" s="561">
        <f>'Food-Data Entry'!AX21</f>
        <v>0</v>
      </c>
      <c r="I36" s="561">
        <f>'MIlk-Data Entry'!BB21</f>
        <v>0</v>
      </c>
      <c r="J36" s="561">
        <f>'Food-Data Entry'!AC21</f>
        <v>12</v>
      </c>
      <c r="K36" s="561">
        <f>'Food-Data Entry'!AY21</f>
        <v>1.8</v>
      </c>
      <c r="L36" s="561">
        <f>'Food-Data Entry'!AZ21</f>
        <v>0</v>
      </c>
      <c r="M36" s="561">
        <f>'MIlk-Data Entry'!BD21</f>
        <v>0</v>
      </c>
      <c r="N36" s="1164" t="str">
        <f>IF(D36="---",0,IF(C36="Holiday","---",VLOOKUP(C36,$Q$22:R41,2,0)))</f>
        <v xml:space="preserve">रोटी -दाल, सब्जी &amp; दूध </v>
      </c>
      <c r="O36" s="1165"/>
      <c r="P36" s="191"/>
      <c r="R36" s="191"/>
      <c r="S36" s="188">
        <f t="shared" si="4"/>
        <v>1</v>
      </c>
      <c r="T36" s="188">
        <f t="shared" si="0"/>
        <v>1</v>
      </c>
      <c r="U36" s="188">
        <f t="shared" si="0"/>
        <v>0</v>
      </c>
      <c r="V36" s="188">
        <f t="shared" si="0"/>
        <v>0</v>
      </c>
      <c r="W36" s="188">
        <f t="shared" si="0"/>
        <v>1</v>
      </c>
      <c r="X36" s="188">
        <f t="shared" si="0"/>
        <v>1</v>
      </c>
      <c r="Y36" s="188">
        <f t="shared" si="0"/>
        <v>0</v>
      </c>
      <c r="Z36" s="188">
        <f t="shared" si="0"/>
        <v>0</v>
      </c>
      <c r="AC36" s="433">
        <f t="shared" si="5"/>
        <v>0</v>
      </c>
      <c r="AD36" s="433">
        <f t="shared" si="6"/>
        <v>0</v>
      </c>
      <c r="AE36" s="433">
        <f t="shared" si="7"/>
        <v>0</v>
      </c>
      <c r="AF36" s="433">
        <f t="shared" si="8"/>
        <v>0</v>
      </c>
      <c r="AG36" s="433"/>
      <c r="AH36" s="433">
        <f t="shared" si="9"/>
        <v>0</v>
      </c>
      <c r="AI36" s="433">
        <f t="shared" si="10"/>
        <v>0</v>
      </c>
      <c r="AJ36" s="433">
        <f t="shared" si="11"/>
        <v>0</v>
      </c>
      <c r="AK36" s="433">
        <f t="shared" si="12"/>
        <v>0</v>
      </c>
      <c r="AL36" s="433"/>
      <c r="AM36" s="433">
        <f t="shared" si="13"/>
        <v>0</v>
      </c>
      <c r="AN36" s="433">
        <f t="shared" si="14"/>
        <v>0</v>
      </c>
      <c r="AO36" s="433">
        <f t="shared" si="15"/>
        <v>0</v>
      </c>
      <c r="AP36" s="433">
        <f t="shared" si="16"/>
        <v>0</v>
      </c>
    </row>
    <row r="37" spans="1:42" ht="21.75" customHeight="1">
      <c r="A37" s="1238"/>
      <c r="B37" s="190" t="str">
        <f>IF('Food-Data Entry'!N22="खुला",'Food-Data Entry'!M22,'Food-Data Entry'!N22)</f>
        <v>रवि॰अव॰</v>
      </c>
      <c r="C37" s="190" t="str">
        <f>'Food-Data Entry'!O22</f>
        <v>Holiday</v>
      </c>
      <c r="D37" s="361">
        <f>'Food-Data Entry'!L22</f>
        <v>45977</v>
      </c>
      <c r="E37" s="357" t="str">
        <f t="shared" si="3"/>
        <v>(रवि॰अव॰)</v>
      </c>
      <c r="F37" s="270">
        <f>'Food-Data Entry'!Z22</f>
        <v>0</v>
      </c>
      <c r="G37" s="561">
        <f>'Food-Data Entry'!AW22</f>
        <v>0</v>
      </c>
      <c r="H37" s="561">
        <f>'Food-Data Entry'!AX22</f>
        <v>0</v>
      </c>
      <c r="I37" s="561">
        <f>'MIlk-Data Entry'!BB22</f>
        <v>0</v>
      </c>
      <c r="J37" s="561">
        <f>'Food-Data Entry'!AC22</f>
        <v>0</v>
      </c>
      <c r="K37" s="561">
        <f>'Food-Data Entry'!AY22</f>
        <v>0</v>
      </c>
      <c r="L37" s="561">
        <f>'Food-Data Entry'!AZ22</f>
        <v>0</v>
      </c>
      <c r="M37" s="561">
        <f>'MIlk-Data Entry'!BD22</f>
        <v>0</v>
      </c>
      <c r="N37" s="1164" t="str">
        <f>IF(D37="---",0,IF(C37="Holiday","---",VLOOKUP(C37,$Q$22:R42,2,0)))</f>
        <v>---</v>
      </c>
      <c r="O37" s="1165"/>
      <c r="P37" s="191"/>
      <c r="R37" s="191"/>
      <c r="S37" s="188">
        <f t="shared" si="4"/>
        <v>0</v>
      </c>
      <c r="T37" s="188">
        <f t="shared" si="0"/>
        <v>0</v>
      </c>
      <c r="U37" s="188">
        <f t="shared" si="0"/>
        <v>0</v>
      </c>
      <c r="V37" s="188">
        <f t="shared" si="0"/>
        <v>0</v>
      </c>
      <c r="W37" s="188">
        <f t="shared" si="0"/>
        <v>0</v>
      </c>
      <c r="X37" s="188">
        <f t="shared" si="0"/>
        <v>0</v>
      </c>
      <c r="Y37" s="188">
        <f t="shared" si="0"/>
        <v>0</v>
      </c>
      <c r="Z37" s="188">
        <f t="shared" si="0"/>
        <v>0</v>
      </c>
      <c r="AC37" s="433">
        <f t="shared" si="5"/>
        <v>0</v>
      </c>
      <c r="AD37" s="433">
        <f t="shared" si="6"/>
        <v>0</v>
      </c>
      <c r="AE37" s="433">
        <f t="shared" si="7"/>
        <v>0</v>
      </c>
      <c r="AF37" s="433">
        <f t="shared" si="8"/>
        <v>0</v>
      </c>
      <c r="AG37" s="433"/>
      <c r="AH37" s="433">
        <f t="shared" si="9"/>
        <v>0</v>
      </c>
      <c r="AI37" s="433">
        <f t="shared" si="10"/>
        <v>0</v>
      </c>
      <c r="AJ37" s="433">
        <f t="shared" si="11"/>
        <v>0</v>
      </c>
      <c r="AK37" s="433">
        <f t="shared" si="12"/>
        <v>0</v>
      </c>
      <c r="AL37" s="433"/>
      <c r="AM37" s="433">
        <f t="shared" si="13"/>
        <v>0</v>
      </c>
      <c r="AN37" s="433">
        <f t="shared" si="14"/>
        <v>0</v>
      </c>
      <c r="AO37" s="433">
        <f t="shared" si="15"/>
        <v>0</v>
      </c>
      <c r="AP37" s="433">
        <f t="shared" si="16"/>
        <v>0</v>
      </c>
    </row>
    <row r="38" spans="1:42" ht="21.75" customHeight="1">
      <c r="A38" s="1238"/>
      <c r="B38" s="190" t="str">
        <f>IF('Food-Data Entry'!N23="खुला",'Food-Data Entry'!M23,'Food-Data Entry'!N23)</f>
        <v>Monday</v>
      </c>
      <c r="C38" s="190" t="str">
        <f>'Food-Data Entry'!O23</f>
        <v>Monday</v>
      </c>
      <c r="D38" s="361">
        <f>'Food-Data Entry'!L23</f>
        <v>45978</v>
      </c>
      <c r="E38" s="357" t="str">
        <f t="shared" si="3"/>
        <v>(Monday)</v>
      </c>
      <c r="F38" s="270">
        <f>'Food-Data Entry'!Z23</f>
        <v>25</v>
      </c>
      <c r="G38" s="561">
        <f>'Food-Data Entry'!AW23</f>
        <v>2.5</v>
      </c>
      <c r="H38" s="561">
        <f>'Food-Data Entry'!AX23</f>
        <v>0</v>
      </c>
      <c r="I38" s="561">
        <f>'MIlk-Data Entry'!BB23</f>
        <v>0</v>
      </c>
      <c r="J38" s="561">
        <f>'Food-Data Entry'!AC23</f>
        <v>12</v>
      </c>
      <c r="K38" s="561">
        <f>'Food-Data Entry'!AY23</f>
        <v>1.8</v>
      </c>
      <c r="L38" s="561">
        <f>'Food-Data Entry'!AZ23</f>
        <v>0</v>
      </c>
      <c r="M38" s="561">
        <f>'MIlk-Data Entry'!BD23</f>
        <v>0</v>
      </c>
      <c r="N38" s="1164" t="str">
        <f>IF(D38="---",0,IF(C38="Holiday","---",VLOOKUP(C38,$Q$22:R43,2,0)))</f>
        <v>रोटी -दाल, सब्जी &amp;  दुग्ध</v>
      </c>
      <c r="O38" s="1165"/>
      <c r="P38" s="191"/>
      <c r="R38" s="191"/>
      <c r="S38" s="188">
        <f t="shared" si="4"/>
        <v>1</v>
      </c>
      <c r="T38" s="188">
        <f t="shared" ref="T38:T52" si="17">IF(G38&gt;0,1,0)</f>
        <v>1</v>
      </c>
      <c r="U38" s="188">
        <f t="shared" ref="U38:U52" si="18">IF(H38&gt;0,1,0)</f>
        <v>0</v>
      </c>
      <c r="V38" s="188">
        <f t="shared" ref="V38:V52" si="19">IF(I38&gt;0,1,0)</f>
        <v>0</v>
      </c>
      <c r="W38" s="188">
        <f t="shared" ref="W38:W52" si="20">IF(J38&gt;0,1,0)</f>
        <v>1</v>
      </c>
      <c r="X38" s="188">
        <f t="shared" ref="X38:X52" si="21">IF(K38&gt;0,1,0)</f>
        <v>1</v>
      </c>
      <c r="Y38" s="188">
        <f t="shared" ref="Y38:Y52" si="22">IF(L38&gt;0,1,0)</f>
        <v>0</v>
      </c>
      <c r="Z38" s="188">
        <f t="shared" ref="Z38:Z52" si="23">IF(M38&gt;0,1,0)</f>
        <v>0</v>
      </c>
      <c r="AC38" s="433">
        <f t="shared" si="5"/>
        <v>0</v>
      </c>
      <c r="AD38" s="433">
        <f t="shared" si="6"/>
        <v>0</v>
      </c>
      <c r="AE38" s="433">
        <f t="shared" si="7"/>
        <v>0</v>
      </c>
      <c r="AF38" s="433">
        <f t="shared" si="8"/>
        <v>1</v>
      </c>
      <c r="AG38" s="433"/>
      <c r="AH38" s="433">
        <f t="shared" si="9"/>
        <v>0</v>
      </c>
      <c r="AI38" s="433">
        <f t="shared" si="10"/>
        <v>0</v>
      </c>
      <c r="AJ38" s="433">
        <f t="shared" si="11"/>
        <v>0</v>
      </c>
      <c r="AK38" s="433">
        <f t="shared" si="12"/>
        <v>25</v>
      </c>
      <c r="AL38" s="433"/>
      <c r="AM38" s="433">
        <f t="shared" si="13"/>
        <v>0</v>
      </c>
      <c r="AN38" s="433">
        <f t="shared" si="14"/>
        <v>0</v>
      </c>
      <c r="AO38" s="433">
        <f t="shared" si="15"/>
        <v>0</v>
      </c>
      <c r="AP38" s="433">
        <f t="shared" si="16"/>
        <v>12</v>
      </c>
    </row>
    <row r="39" spans="1:42" ht="21.75" customHeight="1">
      <c r="A39" s="1238"/>
      <c r="B39" s="190" t="str">
        <f>IF('Food-Data Entry'!N24="खुला",'Food-Data Entry'!M24,'Food-Data Entry'!N24)</f>
        <v>Tuesday</v>
      </c>
      <c r="C39" s="190" t="str">
        <f>'Food-Data Entry'!O24</f>
        <v>Tuesday</v>
      </c>
      <c r="D39" s="361">
        <f>'Food-Data Entry'!L24</f>
        <v>45979</v>
      </c>
      <c r="E39" s="357" t="str">
        <f t="shared" si="3"/>
        <v>(Tuesday)</v>
      </c>
      <c r="F39" s="270">
        <f>'Food-Data Entry'!Z24</f>
        <v>25</v>
      </c>
      <c r="G39" s="561">
        <f>'Food-Data Entry'!AW24</f>
        <v>0</v>
      </c>
      <c r="H39" s="561">
        <f>'Food-Data Entry'!AX24</f>
        <v>2.5</v>
      </c>
      <c r="I39" s="561">
        <f>'MIlk-Data Entry'!BB24</f>
        <v>0</v>
      </c>
      <c r="J39" s="561">
        <f>'Food-Data Entry'!AC24</f>
        <v>12</v>
      </c>
      <c r="K39" s="561">
        <f>'Food-Data Entry'!AY24</f>
        <v>0</v>
      </c>
      <c r="L39" s="561">
        <f>'Food-Data Entry'!AZ24</f>
        <v>1.8</v>
      </c>
      <c r="M39" s="561">
        <f>'MIlk-Data Entry'!BD24</f>
        <v>0</v>
      </c>
      <c r="N39" s="1164" t="str">
        <f>IF(D39="---",0,IF(C39="Holiday","---",VLOOKUP(C39,$Q$22:R44,2,0)))</f>
        <v xml:space="preserve">चावल एवं दाल/सब्जी &amp; दूध </v>
      </c>
      <c r="O39" s="1165"/>
      <c r="P39" s="191"/>
      <c r="R39" s="191"/>
      <c r="S39" s="188">
        <f t="shared" si="4"/>
        <v>1</v>
      </c>
      <c r="T39" s="188">
        <f t="shared" si="17"/>
        <v>0</v>
      </c>
      <c r="U39" s="188">
        <f t="shared" si="18"/>
        <v>1</v>
      </c>
      <c r="V39" s="188">
        <f t="shared" si="19"/>
        <v>0</v>
      </c>
      <c r="W39" s="188">
        <f t="shared" si="20"/>
        <v>1</v>
      </c>
      <c r="X39" s="188">
        <f t="shared" si="21"/>
        <v>0</v>
      </c>
      <c r="Y39" s="188">
        <f t="shared" si="22"/>
        <v>1</v>
      </c>
      <c r="Z39" s="188">
        <f t="shared" si="23"/>
        <v>0</v>
      </c>
      <c r="AC39" s="433">
        <f t="shared" si="5"/>
        <v>0</v>
      </c>
      <c r="AD39" s="433">
        <f t="shared" si="6"/>
        <v>0</v>
      </c>
      <c r="AE39" s="433">
        <f t="shared" si="7"/>
        <v>0</v>
      </c>
      <c r="AF39" s="433">
        <f t="shared" si="8"/>
        <v>0</v>
      </c>
      <c r="AG39" s="433"/>
      <c r="AH39" s="433">
        <f t="shared" si="9"/>
        <v>0</v>
      </c>
      <c r="AI39" s="433">
        <f t="shared" si="10"/>
        <v>0</v>
      </c>
      <c r="AJ39" s="433">
        <f t="shared" si="11"/>
        <v>0</v>
      </c>
      <c r="AK39" s="433">
        <f t="shared" si="12"/>
        <v>0</v>
      </c>
      <c r="AL39" s="433"/>
      <c r="AM39" s="433">
        <f t="shared" si="13"/>
        <v>0</v>
      </c>
      <c r="AN39" s="433">
        <f t="shared" si="14"/>
        <v>0</v>
      </c>
      <c r="AO39" s="433">
        <f t="shared" si="15"/>
        <v>0</v>
      </c>
      <c r="AP39" s="433">
        <f t="shared" si="16"/>
        <v>0</v>
      </c>
    </row>
    <row r="40" spans="1:42" ht="21.75" customHeight="1">
      <c r="A40" s="1238"/>
      <c r="B40" s="190" t="str">
        <f>IF('Food-Data Entry'!N25="खुला",'Food-Data Entry'!M25,'Food-Data Entry'!N25)</f>
        <v>Wednesday</v>
      </c>
      <c r="C40" s="190" t="str">
        <f>'Food-Data Entry'!O25</f>
        <v>Wednesday</v>
      </c>
      <c r="D40" s="361">
        <f>'Food-Data Entry'!L25</f>
        <v>45980</v>
      </c>
      <c r="E40" s="357" t="str">
        <f t="shared" si="3"/>
        <v>(Wednesday)</v>
      </c>
      <c r="F40" s="270">
        <f>'Food-Data Entry'!Z25</f>
        <v>25</v>
      </c>
      <c r="G40" s="561">
        <f>'Food-Data Entry'!AW25</f>
        <v>2.5</v>
      </c>
      <c r="H40" s="561">
        <f>'Food-Data Entry'!AX25</f>
        <v>0</v>
      </c>
      <c r="I40" s="561">
        <f>'MIlk-Data Entry'!BB25</f>
        <v>0</v>
      </c>
      <c r="J40" s="561">
        <f>'Food-Data Entry'!AC25</f>
        <v>12</v>
      </c>
      <c r="K40" s="561">
        <f>'Food-Data Entry'!AY25</f>
        <v>1.8</v>
      </c>
      <c r="L40" s="561">
        <f>'Food-Data Entry'!AZ25</f>
        <v>0</v>
      </c>
      <c r="M40" s="561">
        <f>'MIlk-Data Entry'!BD25</f>
        <v>0</v>
      </c>
      <c r="N40" s="1164" t="str">
        <f>IF(D40="---",0,IF(C40="Holiday","---",VLOOKUP(C40,$Q$22:R45,2,0)))</f>
        <v xml:space="preserve">रोटी -दाल, सब्जी &amp; दूध </v>
      </c>
      <c r="O40" s="1165"/>
      <c r="P40" s="191"/>
      <c r="R40" s="191"/>
      <c r="S40" s="188">
        <f t="shared" si="4"/>
        <v>1</v>
      </c>
      <c r="T40" s="188">
        <f t="shared" si="17"/>
        <v>1</v>
      </c>
      <c r="U40" s="188">
        <f t="shared" si="18"/>
        <v>0</v>
      </c>
      <c r="V40" s="188">
        <f t="shared" si="19"/>
        <v>0</v>
      </c>
      <c r="W40" s="188">
        <f t="shared" si="20"/>
        <v>1</v>
      </c>
      <c r="X40" s="188">
        <f t="shared" si="21"/>
        <v>1</v>
      </c>
      <c r="Y40" s="188">
        <f t="shared" si="22"/>
        <v>0</v>
      </c>
      <c r="Z40" s="188">
        <f t="shared" si="23"/>
        <v>0</v>
      </c>
      <c r="AC40" s="433">
        <f t="shared" si="5"/>
        <v>0</v>
      </c>
      <c r="AD40" s="433">
        <f t="shared" si="6"/>
        <v>0</v>
      </c>
      <c r="AE40" s="433">
        <f t="shared" si="7"/>
        <v>0</v>
      </c>
      <c r="AF40" s="433">
        <f t="shared" si="8"/>
        <v>0</v>
      </c>
      <c r="AG40" s="433"/>
      <c r="AH40" s="433">
        <f t="shared" si="9"/>
        <v>0</v>
      </c>
      <c r="AI40" s="433">
        <f t="shared" si="10"/>
        <v>0</v>
      </c>
      <c r="AJ40" s="433">
        <f t="shared" si="11"/>
        <v>0</v>
      </c>
      <c r="AK40" s="433">
        <f t="shared" si="12"/>
        <v>0</v>
      </c>
      <c r="AL40" s="433"/>
      <c r="AM40" s="433">
        <f t="shared" si="13"/>
        <v>0</v>
      </c>
      <c r="AN40" s="433">
        <f t="shared" si="14"/>
        <v>0</v>
      </c>
      <c r="AO40" s="433">
        <f t="shared" si="15"/>
        <v>0</v>
      </c>
      <c r="AP40" s="433">
        <f t="shared" si="16"/>
        <v>0</v>
      </c>
    </row>
    <row r="41" spans="1:42" ht="21.75" customHeight="1">
      <c r="A41" s="1238"/>
      <c r="B41" s="190" t="str">
        <f>IF('Food-Data Entry'!N26="खुला",'Food-Data Entry'!M26,'Food-Data Entry'!N26)</f>
        <v>Thursday</v>
      </c>
      <c r="C41" s="190" t="str">
        <f>'Food-Data Entry'!O26</f>
        <v>Thursday</v>
      </c>
      <c r="D41" s="361">
        <f>'Food-Data Entry'!L26</f>
        <v>45981</v>
      </c>
      <c r="E41" s="357" t="str">
        <f t="shared" si="3"/>
        <v>(Thursday)</v>
      </c>
      <c r="F41" s="270">
        <f>'Food-Data Entry'!Z26</f>
        <v>25</v>
      </c>
      <c r="G41" s="561">
        <f>'Food-Data Entry'!AW26</f>
        <v>0</v>
      </c>
      <c r="H41" s="561">
        <f>'Food-Data Entry'!AX26</f>
        <v>2.5</v>
      </c>
      <c r="I41" s="561">
        <f>'MIlk-Data Entry'!BB26</f>
        <v>0</v>
      </c>
      <c r="J41" s="561">
        <f>'Food-Data Entry'!AC26</f>
        <v>12</v>
      </c>
      <c r="K41" s="561">
        <f>'Food-Data Entry'!AY26</f>
        <v>0</v>
      </c>
      <c r="L41" s="561">
        <f>'Food-Data Entry'!AZ26</f>
        <v>1.8</v>
      </c>
      <c r="M41" s="561">
        <f>'MIlk-Data Entry'!BD26</f>
        <v>0</v>
      </c>
      <c r="N41" s="1164" t="str">
        <f>IF(D41="---",0,IF(C41="Holiday","---",VLOOKUP(C41,$Q$22:R46,2,0)))</f>
        <v xml:space="preserve">खिचडी  (दाल,चावल,सब्जी आदि युक्त) &amp; दूध </v>
      </c>
      <c r="O41" s="1165"/>
      <c r="P41" s="191"/>
      <c r="R41" s="191"/>
      <c r="S41" s="188">
        <f t="shared" si="4"/>
        <v>1</v>
      </c>
      <c r="T41" s="188">
        <f t="shared" si="17"/>
        <v>0</v>
      </c>
      <c r="U41" s="188">
        <f t="shared" si="18"/>
        <v>1</v>
      </c>
      <c r="V41" s="188">
        <f t="shared" si="19"/>
        <v>0</v>
      </c>
      <c r="W41" s="188">
        <f t="shared" si="20"/>
        <v>1</v>
      </c>
      <c r="X41" s="188">
        <f t="shared" si="21"/>
        <v>0</v>
      </c>
      <c r="Y41" s="188">
        <f t="shared" si="22"/>
        <v>1</v>
      </c>
      <c r="Z41" s="188">
        <f t="shared" si="23"/>
        <v>0</v>
      </c>
      <c r="AC41" s="433">
        <f t="shared" si="5"/>
        <v>0</v>
      </c>
      <c r="AD41" s="433">
        <f t="shared" si="6"/>
        <v>0</v>
      </c>
      <c r="AE41" s="433">
        <f t="shared" si="7"/>
        <v>0</v>
      </c>
      <c r="AF41" s="433">
        <f t="shared" si="8"/>
        <v>0</v>
      </c>
      <c r="AG41" s="433"/>
      <c r="AH41" s="433">
        <f t="shared" si="9"/>
        <v>0</v>
      </c>
      <c r="AI41" s="433">
        <f t="shared" si="10"/>
        <v>0</v>
      </c>
      <c r="AJ41" s="433">
        <f t="shared" si="11"/>
        <v>0</v>
      </c>
      <c r="AK41" s="433">
        <f t="shared" si="12"/>
        <v>0</v>
      </c>
      <c r="AL41" s="433"/>
      <c r="AM41" s="433">
        <f t="shared" si="13"/>
        <v>0</v>
      </c>
      <c r="AN41" s="433">
        <f t="shared" si="14"/>
        <v>0</v>
      </c>
      <c r="AO41" s="433">
        <f t="shared" si="15"/>
        <v>0</v>
      </c>
      <c r="AP41" s="433">
        <f t="shared" si="16"/>
        <v>0</v>
      </c>
    </row>
    <row r="42" spans="1:42" ht="21.75" customHeight="1">
      <c r="A42" s="1238"/>
      <c r="B42" s="190" t="str">
        <f>IF('Food-Data Entry'!N27="खुला",'Food-Data Entry'!M27,'Food-Data Entry'!N27)</f>
        <v>Friday</v>
      </c>
      <c r="C42" s="190" t="str">
        <f>'Food-Data Entry'!O27</f>
        <v>Friday</v>
      </c>
      <c r="D42" s="361">
        <f>'Food-Data Entry'!L27</f>
        <v>45982</v>
      </c>
      <c r="E42" s="357" t="str">
        <f t="shared" si="3"/>
        <v>(Friday)</v>
      </c>
      <c r="F42" s="270">
        <f>'Food-Data Entry'!Z27</f>
        <v>25</v>
      </c>
      <c r="G42" s="561">
        <f>'Food-Data Entry'!AW27</f>
        <v>2.5</v>
      </c>
      <c r="H42" s="561">
        <f>'Food-Data Entry'!AX27</f>
        <v>0</v>
      </c>
      <c r="I42" s="561">
        <f>'MIlk-Data Entry'!BB27</f>
        <v>0</v>
      </c>
      <c r="J42" s="561">
        <f>'Food-Data Entry'!AC27</f>
        <v>12</v>
      </c>
      <c r="K42" s="561">
        <f>'Food-Data Entry'!AY27</f>
        <v>1.8</v>
      </c>
      <c r="L42" s="561">
        <f>'Food-Data Entry'!AZ27</f>
        <v>0</v>
      </c>
      <c r="M42" s="561">
        <f>'MIlk-Data Entry'!BD27</f>
        <v>0</v>
      </c>
      <c r="N42" s="1164" t="str">
        <f>IF(D42="---",0,IF(C42="Holiday","---",VLOOKUP(C42,$Q$22:R47,2,0)))</f>
        <v xml:space="preserve">रोटी -दाल, सब्जी &amp; दूध </v>
      </c>
      <c r="O42" s="1165"/>
      <c r="P42" s="191"/>
      <c r="R42" s="191"/>
      <c r="S42" s="188">
        <f t="shared" si="4"/>
        <v>1</v>
      </c>
      <c r="T42" s="188">
        <f t="shared" si="17"/>
        <v>1</v>
      </c>
      <c r="U42" s="188">
        <f t="shared" si="18"/>
        <v>0</v>
      </c>
      <c r="V42" s="188">
        <f t="shared" si="19"/>
        <v>0</v>
      </c>
      <c r="W42" s="188">
        <f t="shared" si="20"/>
        <v>1</v>
      </c>
      <c r="X42" s="188">
        <f t="shared" si="21"/>
        <v>1</v>
      </c>
      <c r="Y42" s="188">
        <f t="shared" si="22"/>
        <v>0</v>
      </c>
      <c r="Z42" s="188">
        <f t="shared" si="23"/>
        <v>0</v>
      </c>
      <c r="AC42" s="433">
        <f t="shared" si="5"/>
        <v>0</v>
      </c>
      <c r="AD42" s="433">
        <f t="shared" si="6"/>
        <v>0</v>
      </c>
      <c r="AE42" s="433">
        <f t="shared" si="7"/>
        <v>0</v>
      </c>
      <c r="AF42" s="433">
        <f t="shared" si="8"/>
        <v>0</v>
      </c>
      <c r="AG42" s="433"/>
      <c r="AH42" s="433">
        <f t="shared" si="9"/>
        <v>0</v>
      </c>
      <c r="AI42" s="433">
        <f t="shared" si="10"/>
        <v>0</v>
      </c>
      <c r="AJ42" s="433">
        <f t="shared" si="11"/>
        <v>0</v>
      </c>
      <c r="AK42" s="433">
        <f t="shared" si="12"/>
        <v>0</v>
      </c>
      <c r="AL42" s="433"/>
      <c r="AM42" s="433">
        <f t="shared" si="13"/>
        <v>0</v>
      </c>
      <c r="AN42" s="433">
        <f t="shared" si="14"/>
        <v>0</v>
      </c>
      <c r="AO42" s="433">
        <f t="shared" si="15"/>
        <v>0</v>
      </c>
      <c r="AP42" s="433">
        <f t="shared" si="16"/>
        <v>0</v>
      </c>
    </row>
    <row r="43" spans="1:42" ht="21.75" customHeight="1">
      <c r="A43" s="1238"/>
      <c r="B43" s="190" t="str">
        <f>IF('Food-Data Entry'!N28="खुला",'Food-Data Entry'!M28,'Food-Data Entry'!N28)</f>
        <v>Saturday</v>
      </c>
      <c r="C43" s="190" t="str">
        <f>'Food-Data Entry'!O28</f>
        <v>Saturday</v>
      </c>
      <c r="D43" s="361">
        <f>'Food-Data Entry'!L28</f>
        <v>45983</v>
      </c>
      <c r="E43" s="357" t="str">
        <f t="shared" si="3"/>
        <v>(Saturday)</v>
      </c>
      <c r="F43" s="270">
        <f>'Food-Data Entry'!Z28</f>
        <v>25</v>
      </c>
      <c r="G43" s="561">
        <f>'Food-Data Entry'!AW28</f>
        <v>2.5</v>
      </c>
      <c r="H43" s="561">
        <f>'Food-Data Entry'!AX28</f>
        <v>0</v>
      </c>
      <c r="I43" s="561">
        <f>'MIlk-Data Entry'!BB28</f>
        <v>0</v>
      </c>
      <c r="J43" s="561">
        <f>'Food-Data Entry'!AC28</f>
        <v>12</v>
      </c>
      <c r="K43" s="561">
        <f>'Food-Data Entry'!AY28</f>
        <v>1.8</v>
      </c>
      <c r="L43" s="561">
        <f>'Food-Data Entry'!AZ28</f>
        <v>0</v>
      </c>
      <c r="M43" s="561">
        <f>'MIlk-Data Entry'!BD28</f>
        <v>0</v>
      </c>
      <c r="N43" s="1164" t="str">
        <f>IF(D43="---",0,IF(C43="Holiday","---",VLOOKUP(C43,$Q$22:R48,2,0)))</f>
        <v xml:space="preserve">रोटी -दाल, सब्जी &amp; दूध </v>
      </c>
      <c r="O43" s="1165"/>
      <c r="P43" s="191"/>
      <c r="R43" s="191"/>
      <c r="S43" s="188">
        <f t="shared" si="4"/>
        <v>1</v>
      </c>
      <c r="T43" s="188">
        <f t="shared" si="17"/>
        <v>1</v>
      </c>
      <c r="U43" s="188">
        <f t="shared" si="18"/>
        <v>0</v>
      </c>
      <c r="V43" s="188">
        <f t="shared" si="19"/>
        <v>0</v>
      </c>
      <c r="W43" s="188">
        <f t="shared" si="20"/>
        <v>1</v>
      </c>
      <c r="X43" s="188">
        <f t="shared" si="21"/>
        <v>1</v>
      </c>
      <c r="Y43" s="188">
        <f t="shared" si="22"/>
        <v>0</v>
      </c>
      <c r="Z43" s="188">
        <f t="shared" si="23"/>
        <v>0</v>
      </c>
      <c r="AC43" s="433">
        <f t="shared" si="5"/>
        <v>0</v>
      </c>
      <c r="AD43" s="433">
        <f t="shared" si="6"/>
        <v>0</v>
      </c>
      <c r="AE43" s="433">
        <f t="shared" si="7"/>
        <v>0</v>
      </c>
      <c r="AF43" s="433">
        <f t="shared" si="8"/>
        <v>0</v>
      </c>
      <c r="AG43" s="433"/>
      <c r="AH43" s="433">
        <f t="shared" si="9"/>
        <v>0</v>
      </c>
      <c r="AI43" s="433">
        <f t="shared" si="10"/>
        <v>0</v>
      </c>
      <c r="AJ43" s="433">
        <f t="shared" si="11"/>
        <v>0</v>
      </c>
      <c r="AK43" s="433">
        <f t="shared" si="12"/>
        <v>0</v>
      </c>
      <c r="AL43" s="433"/>
      <c r="AM43" s="433">
        <f t="shared" si="13"/>
        <v>0</v>
      </c>
      <c r="AN43" s="433">
        <f t="shared" si="14"/>
        <v>0</v>
      </c>
      <c r="AO43" s="433">
        <f t="shared" si="15"/>
        <v>0</v>
      </c>
      <c r="AP43" s="433">
        <f t="shared" si="16"/>
        <v>0</v>
      </c>
    </row>
    <row r="44" spans="1:42" ht="21.75" customHeight="1">
      <c r="A44" s="1238"/>
      <c r="B44" s="190" t="str">
        <f>IF('Food-Data Entry'!N29="खुला",'Food-Data Entry'!M29,'Food-Data Entry'!N29)</f>
        <v>रवि॰अव॰</v>
      </c>
      <c r="C44" s="190" t="str">
        <f>'Food-Data Entry'!O29</f>
        <v>Holiday</v>
      </c>
      <c r="D44" s="361">
        <f>'Food-Data Entry'!L29</f>
        <v>45984</v>
      </c>
      <c r="E44" s="357" t="str">
        <f t="shared" si="3"/>
        <v>(रवि॰अव॰)</v>
      </c>
      <c r="F44" s="270">
        <f>'Food-Data Entry'!Z29</f>
        <v>0</v>
      </c>
      <c r="G44" s="561">
        <f>'Food-Data Entry'!AW29</f>
        <v>0</v>
      </c>
      <c r="H44" s="561">
        <f>'Food-Data Entry'!AX29</f>
        <v>0</v>
      </c>
      <c r="I44" s="561">
        <f>'MIlk-Data Entry'!BB29</f>
        <v>0</v>
      </c>
      <c r="J44" s="561">
        <f>'Food-Data Entry'!AC29</f>
        <v>0</v>
      </c>
      <c r="K44" s="561">
        <f>'Food-Data Entry'!AY29</f>
        <v>0</v>
      </c>
      <c r="L44" s="561">
        <f>'Food-Data Entry'!AZ29</f>
        <v>0</v>
      </c>
      <c r="M44" s="561">
        <f>'MIlk-Data Entry'!BD29</f>
        <v>0</v>
      </c>
      <c r="N44" s="1164" t="str">
        <f>IF(D44="---",0,IF(C44="Holiday","---",VLOOKUP(C44,$Q$22:R49,2,0)))</f>
        <v>---</v>
      </c>
      <c r="O44" s="1165"/>
      <c r="P44" s="191"/>
      <c r="R44" s="191"/>
      <c r="S44" s="188">
        <f t="shared" si="4"/>
        <v>0</v>
      </c>
      <c r="T44" s="188">
        <f t="shared" si="17"/>
        <v>0</v>
      </c>
      <c r="U44" s="188">
        <f t="shared" si="18"/>
        <v>0</v>
      </c>
      <c r="V44" s="188">
        <f t="shared" si="19"/>
        <v>0</v>
      </c>
      <c r="W44" s="188">
        <f t="shared" si="20"/>
        <v>0</v>
      </c>
      <c r="X44" s="188">
        <f t="shared" si="21"/>
        <v>0</v>
      </c>
      <c r="Y44" s="188">
        <f t="shared" si="22"/>
        <v>0</v>
      </c>
      <c r="Z44" s="188">
        <f t="shared" si="23"/>
        <v>0</v>
      </c>
      <c r="AC44" s="433">
        <f t="shared" si="5"/>
        <v>0</v>
      </c>
      <c r="AD44" s="433">
        <f t="shared" si="6"/>
        <v>0</v>
      </c>
      <c r="AE44" s="433">
        <f t="shared" si="7"/>
        <v>0</v>
      </c>
      <c r="AF44" s="433">
        <f t="shared" si="8"/>
        <v>0</v>
      </c>
      <c r="AG44" s="433"/>
      <c r="AH44" s="433">
        <f t="shared" si="9"/>
        <v>0</v>
      </c>
      <c r="AI44" s="433">
        <f t="shared" si="10"/>
        <v>0</v>
      </c>
      <c r="AJ44" s="433">
        <f t="shared" si="11"/>
        <v>0</v>
      </c>
      <c r="AK44" s="433">
        <f t="shared" si="12"/>
        <v>0</v>
      </c>
      <c r="AL44" s="433"/>
      <c r="AM44" s="433">
        <f t="shared" si="13"/>
        <v>0</v>
      </c>
      <c r="AN44" s="433">
        <f t="shared" si="14"/>
        <v>0</v>
      </c>
      <c r="AO44" s="433">
        <f t="shared" si="15"/>
        <v>0</v>
      </c>
      <c r="AP44" s="433">
        <f t="shared" si="16"/>
        <v>0</v>
      </c>
    </row>
    <row r="45" spans="1:42" ht="21.75" customHeight="1">
      <c r="A45" s="1238"/>
      <c r="B45" s="190" t="str">
        <f>IF('Food-Data Entry'!N30="खुला",'Food-Data Entry'!M30,'Food-Data Entry'!N30)</f>
        <v>Monday</v>
      </c>
      <c r="C45" s="190" t="str">
        <f>'Food-Data Entry'!O30</f>
        <v>Monday</v>
      </c>
      <c r="D45" s="361">
        <f>'Food-Data Entry'!L30</f>
        <v>45985</v>
      </c>
      <c r="E45" s="357" t="str">
        <f t="shared" si="3"/>
        <v>(Monday)</v>
      </c>
      <c r="F45" s="270">
        <f>'Food-Data Entry'!Z30</f>
        <v>25</v>
      </c>
      <c r="G45" s="561">
        <f>'Food-Data Entry'!AW30</f>
        <v>2.5</v>
      </c>
      <c r="H45" s="561">
        <f>'Food-Data Entry'!AX30</f>
        <v>0</v>
      </c>
      <c r="I45" s="561">
        <f>'MIlk-Data Entry'!BB30</f>
        <v>0</v>
      </c>
      <c r="J45" s="561">
        <f>'Food-Data Entry'!AC30</f>
        <v>12</v>
      </c>
      <c r="K45" s="561">
        <f>'Food-Data Entry'!AY30</f>
        <v>1.8</v>
      </c>
      <c r="L45" s="561">
        <f>'Food-Data Entry'!AZ30</f>
        <v>0</v>
      </c>
      <c r="M45" s="561">
        <f>'MIlk-Data Entry'!BD30</f>
        <v>0</v>
      </c>
      <c r="N45" s="1164" t="str">
        <f>IF(D45="---",0,IF(C45="Holiday","---",VLOOKUP(C45,$Q$22:R50,2,0)))</f>
        <v>रोटी -दाल, सब्जी &amp;  दुग्ध</v>
      </c>
      <c r="O45" s="1165"/>
      <c r="P45" s="191"/>
      <c r="R45" s="191"/>
      <c r="S45" s="188">
        <f t="shared" si="4"/>
        <v>1</v>
      </c>
      <c r="T45" s="188">
        <f t="shared" si="17"/>
        <v>1</v>
      </c>
      <c r="U45" s="188">
        <f t="shared" si="18"/>
        <v>0</v>
      </c>
      <c r="V45" s="188">
        <f t="shared" si="19"/>
        <v>0</v>
      </c>
      <c r="W45" s="188">
        <f t="shared" si="20"/>
        <v>1</v>
      </c>
      <c r="X45" s="188">
        <f t="shared" si="21"/>
        <v>1</v>
      </c>
      <c r="Y45" s="188">
        <f t="shared" si="22"/>
        <v>0</v>
      </c>
      <c r="Z45" s="188">
        <f t="shared" si="23"/>
        <v>0</v>
      </c>
      <c r="AC45" s="433">
        <f t="shared" si="5"/>
        <v>0</v>
      </c>
      <c r="AD45" s="433">
        <f t="shared" si="6"/>
        <v>0</v>
      </c>
      <c r="AE45" s="433">
        <f t="shared" si="7"/>
        <v>0</v>
      </c>
      <c r="AF45" s="433">
        <f t="shared" si="8"/>
        <v>1</v>
      </c>
      <c r="AG45" s="433"/>
      <c r="AH45" s="433">
        <f t="shared" si="9"/>
        <v>0</v>
      </c>
      <c r="AI45" s="433">
        <f t="shared" si="10"/>
        <v>0</v>
      </c>
      <c r="AJ45" s="433">
        <f t="shared" si="11"/>
        <v>0</v>
      </c>
      <c r="AK45" s="433">
        <f t="shared" si="12"/>
        <v>25</v>
      </c>
      <c r="AL45" s="433"/>
      <c r="AM45" s="433">
        <f t="shared" si="13"/>
        <v>0</v>
      </c>
      <c r="AN45" s="433">
        <f t="shared" si="14"/>
        <v>0</v>
      </c>
      <c r="AO45" s="433">
        <f t="shared" si="15"/>
        <v>0</v>
      </c>
      <c r="AP45" s="433">
        <f t="shared" si="16"/>
        <v>12</v>
      </c>
    </row>
    <row r="46" spans="1:42" ht="21.75" customHeight="1">
      <c r="A46" s="1238"/>
      <c r="B46" s="190" t="str">
        <f>IF('Food-Data Entry'!N31="खुला",'Food-Data Entry'!M31,'Food-Data Entry'!N31)</f>
        <v>Tuesday</v>
      </c>
      <c r="C46" s="190" t="str">
        <f>'Food-Data Entry'!O31</f>
        <v>Tuesday</v>
      </c>
      <c r="D46" s="361">
        <f>'Food-Data Entry'!L31</f>
        <v>45986</v>
      </c>
      <c r="E46" s="357" t="str">
        <f t="shared" si="3"/>
        <v>(Tuesday)</v>
      </c>
      <c r="F46" s="270">
        <f>'Food-Data Entry'!Z31</f>
        <v>25</v>
      </c>
      <c r="G46" s="561">
        <f>'Food-Data Entry'!AW31</f>
        <v>0</v>
      </c>
      <c r="H46" s="561">
        <f>'Food-Data Entry'!AX31</f>
        <v>2.5</v>
      </c>
      <c r="I46" s="561">
        <f>'MIlk-Data Entry'!BB31</f>
        <v>0</v>
      </c>
      <c r="J46" s="561">
        <f>'Food-Data Entry'!AC31</f>
        <v>12</v>
      </c>
      <c r="K46" s="561">
        <f>'Food-Data Entry'!AY31</f>
        <v>0</v>
      </c>
      <c r="L46" s="561">
        <f>'Food-Data Entry'!AZ31</f>
        <v>1.8</v>
      </c>
      <c r="M46" s="561">
        <f>'MIlk-Data Entry'!BD31</f>
        <v>0</v>
      </c>
      <c r="N46" s="1164" t="str">
        <f>IF(D46="---",0,IF(C46="Holiday","---",VLOOKUP(C46,$Q$22:R51,2,0)))</f>
        <v xml:space="preserve">चावल एवं दाल/सब्जी &amp; दूध </v>
      </c>
      <c r="O46" s="1165"/>
      <c r="P46" s="191"/>
      <c r="R46" s="191"/>
      <c r="S46" s="188">
        <f t="shared" si="4"/>
        <v>1</v>
      </c>
      <c r="T46" s="188">
        <f t="shared" si="17"/>
        <v>0</v>
      </c>
      <c r="U46" s="188">
        <f t="shared" si="18"/>
        <v>1</v>
      </c>
      <c r="V46" s="188">
        <f t="shared" si="19"/>
        <v>0</v>
      </c>
      <c r="W46" s="188">
        <f t="shared" si="20"/>
        <v>1</v>
      </c>
      <c r="X46" s="188">
        <f t="shared" si="21"/>
        <v>0</v>
      </c>
      <c r="Y46" s="188">
        <f t="shared" si="22"/>
        <v>1</v>
      </c>
      <c r="Z46" s="188">
        <f t="shared" si="23"/>
        <v>0</v>
      </c>
      <c r="AC46" s="433">
        <f t="shared" si="5"/>
        <v>0</v>
      </c>
      <c r="AD46" s="433">
        <f t="shared" si="6"/>
        <v>0</v>
      </c>
      <c r="AE46" s="433">
        <f t="shared" si="7"/>
        <v>0</v>
      </c>
      <c r="AF46" s="433">
        <f t="shared" si="8"/>
        <v>0</v>
      </c>
      <c r="AG46" s="433"/>
      <c r="AH46" s="433">
        <f t="shared" si="9"/>
        <v>0</v>
      </c>
      <c r="AI46" s="433">
        <f t="shared" si="10"/>
        <v>0</v>
      </c>
      <c r="AJ46" s="433">
        <f t="shared" si="11"/>
        <v>0</v>
      </c>
      <c r="AK46" s="433">
        <f t="shared" si="12"/>
        <v>0</v>
      </c>
      <c r="AL46" s="433"/>
      <c r="AM46" s="433">
        <f t="shared" si="13"/>
        <v>0</v>
      </c>
      <c r="AN46" s="433">
        <f t="shared" si="14"/>
        <v>0</v>
      </c>
      <c r="AO46" s="433">
        <f t="shared" si="15"/>
        <v>0</v>
      </c>
      <c r="AP46" s="433">
        <f t="shared" si="16"/>
        <v>0</v>
      </c>
    </row>
    <row r="47" spans="1:42" ht="21.75" customHeight="1">
      <c r="A47" s="1238"/>
      <c r="B47" s="190" t="str">
        <f>IF('Food-Data Entry'!N32="खुला",'Food-Data Entry'!M32,'Food-Data Entry'!N32)</f>
        <v>Wednesday</v>
      </c>
      <c r="C47" s="190" t="str">
        <f>'Food-Data Entry'!O32</f>
        <v>Wednesday</v>
      </c>
      <c r="D47" s="361">
        <f>'Food-Data Entry'!L32</f>
        <v>45987</v>
      </c>
      <c r="E47" s="357" t="str">
        <f t="shared" si="3"/>
        <v>(Wednesday)</v>
      </c>
      <c r="F47" s="270">
        <f>'Food-Data Entry'!Z32</f>
        <v>25</v>
      </c>
      <c r="G47" s="561">
        <f>'Food-Data Entry'!AW32</f>
        <v>2.5</v>
      </c>
      <c r="H47" s="561">
        <f>'Food-Data Entry'!AX32</f>
        <v>0</v>
      </c>
      <c r="I47" s="561">
        <f>'MIlk-Data Entry'!BB32</f>
        <v>0</v>
      </c>
      <c r="J47" s="561">
        <f>'Food-Data Entry'!AC32</f>
        <v>12</v>
      </c>
      <c r="K47" s="561">
        <f>'Food-Data Entry'!AY32</f>
        <v>1.8</v>
      </c>
      <c r="L47" s="561">
        <f>'Food-Data Entry'!AZ32</f>
        <v>0</v>
      </c>
      <c r="M47" s="561">
        <f>'MIlk-Data Entry'!BD32</f>
        <v>0</v>
      </c>
      <c r="N47" s="1164" t="str">
        <f>IF(D47="---",0,IF(C47="Holiday","---",VLOOKUP(C47,$Q$22:R52,2,0)))</f>
        <v xml:space="preserve">रोटी -दाल, सब्जी &amp; दूध </v>
      </c>
      <c r="O47" s="1165"/>
      <c r="P47" s="191"/>
      <c r="R47" s="191"/>
      <c r="S47" s="188">
        <f t="shared" si="4"/>
        <v>1</v>
      </c>
      <c r="T47" s="188">
        <f t="shared" si="17"/>
        <v>1</v>
      </c>
      <c r="U47" s="188">
        <f t="shared" si="18"/>
        <v>0</v>
      </c>
      <c r="V47" s="188">
        <f t="shared" si="19"/>
        <v>0</v>
      </c>
      <c r="W47" s="188">
        <f t="shared" si="20"/>
        <v>1</v>
      </c>
      <c r="X47" s="188">
        <f t="shared" si="21"/>
        <v>1</v>
      </c>
      <c r="Y47" s="188">
        <f t="shared" si="22"/>
        <v>0</v>
      </c>
      <c r="Z47" s="188">
        <f t="shared" si="23"/>
        <v>0</v>
      </c>
      <c r="AC47" s="433">
        <f t="shared" si="5"/>
        <v>0</v>
      </c>
      <c r="AD47" s="433">
        <f t="shared" si="6"/>
        <v>0</v>
      </c>
      <c r="AE47" s="433">
        <f t="shared" si="7"/>
        <v>0</v>
      </c>
      <c r="AF47" s="433">
        <f t="shared" si="8"/>
        <v>0</v>
      </c>
      <c r="AG47" s="433"/>
      <c r="AH47" s="433">
        <f t="shared" si="9"/>
        <v>0</v>
      </c>
      <c r="AI47" s="433">
        <f t="shared" si="10"/>
        <v>0</v>
      </c>
      <c r="AJ47" s="433">
        <f t="shared" si="11"/>
        <v>0</v>
      </c>
      <c r="AK47" s="433">
        <f t="shared" si="12"/>
        <v>0</v>
      </c>
      <c r="AL47" s="433"/>
      <c r="AM47" s="433">
        <f t="shared" si="13"/>
        <v>0</v>
      </c>
      <c r="AN47" s="433">
        <f t="shared" si="14"/>
        <v>0</v>
      </c>
      <c r="AO47" s="433">
        <f t="shared" si="15"/>
        <v>0</v>
      </c>
      <c r="AP47" s="433">
        <f t="shared" si="16"/>
        <v>0</v>
      </c>
    </row>
    <row r="48" spans="1:42" ht="21.75" customHeight="1">
      <c r="A48" s="1238"/>
      <c r="B48" s="190" t="str">
        <f>IF('Food-Data Entry'!N33="खुला",'Food-Data Entry'!M33,'Food-Data Entry'!N33)</f>
        <v>Thursday</v>
      </c>
      <c r="C48" s="190" t="str">
        <f>'Food-Data Entry'!O33</f>
        <v>Thursday</v>
      </c>
      <c r="D48" s="361">
        <f>'Food-Data Entry'!L33</f>
        <v>45988</v>
      </c>
      <c r="E48" s="357" t="str">
        <f t="shared" si="3"/>
        <v>(Thursday)</v>
      </c>
      <c r="F48" s="270">
        <f>'Food-Data Entry'!Z33</f>
        <v>25</v>
      </c>
      <c r="G48" s="561">
        <f>'Food-Data Entry'!AW33</f>
        <v>0</v>
      </c>
      <c r="H48" s="561">
        <f>'Food-Data Entry'!AX33</f>
        <v>2.5</v>
      </c>
      <c r="I48" s="561">
        <f>'MIlk-Data Entry'!BB33</f>
        <v>0</v>
      </c>
      <c r="J48" s="561">
        <f>'Food-Data Entry'!AC33</f>
        <v>12</v>
      </c>
      <c r="K48" s="561">
        <f>'Food-Data Entry'!AY33</f>
        <v>0</v>
      </c>
      <c r="L48" s="561">
        <f>'Food-Data Entry'!AZ33</f>
        <v>1.8</v>
      </c>
      <c r="M48" s="561">
        <f>'MIlk-Data Entry'!BD33</f>
        <v>0</v>
      </c>
      <c r="N48" s="1164" t="str">
        <f>IF(D48="---",0,IF(C48="Holiday","---",VLOOKUP(C48,$Q$22:R53,2,0)))</f>
        <v xml:space="preserve">खिचडी  (दाल,चावल,सब्जी आदि युक्त) &amp; दूध </v>
      </c>
      <c r="O48" s="1165"/>
      <c r="P48" s="191"/>
      <c r="R48" s="191"/>
      <c r="S48" s="188">
        <f t="shared" si="4"/>
        <v>1</v>
      </c>
      <c r="T48" s="188">
        <f t="shared" si="17"/>
        <v>0</v>
      </c>
      <c r="U48" s="188">
        <f t="shared" si="18"/>
        <v>1</v>
      </c>
      <c r="V48" s="188">
        <f t="shared" si="19"/>
        <v>0</v>
      </c>
      <c r="W48" s="188">
        <f t="shared" si="20"/>
        <v>1</v>
      </c>
      <c r="X48" s="188">
        <f t="shared" si="21"/>
        <v>0</v>
      </c>
      <c r="Y48" s="188">
        <f t="shared" si="22"/>
        <v>1</v>
      </c>
      <c r="Z48" s="188">
        <f t="shared" si="23"/>
        <v>0</v>
      </c>
      <c r="AC48" s="433">
        <f t="shared" si="5"/>
        <v>0</v>
      </c>
      <c r="AD48" s="433">
        <f t="shared" si="6"/>
        <v>0</v>
      </c>
      <c r="AE48" s="433">
        <f t="shared" si="7"/>
        <v>0</v>
      </c>
      <c r="AF48" s="433">
        <f t="shared" si="8"/>
        <v>0</v>
      </c>
      <c r="AG48" s="433"/>
      <c r="AH48" s="433">
        <f t="shared" si="9"/>
        <v>0</v>
      </c>
      <c r="AI48" s="433">
        <f t="shared" si="10"/>
        <v>0</v>
      </c>
      <c r="AJ48" s="433">
        <f t="shared" si="11"/>
        <v>0</v>
      </c>
      <c r="AK48" s="433">
        <f t="shared" si="12"/>
        <v>0</v>
      </c>
      <c r="AL48" s="433"/>
      <c r="AM48" s="433">
        <f t="shared" si="13"/>
        <v>0</v>
      </c>
      <c r="AN48" s="433">
        <f t="shared" si="14"/>
        <v>0</v>
      </c>
      <c r="AO48" s="433">
        <f t="shared" si="15"/>
        <v>0</v>
      </c>
      <c r="AP48" s="433">
        <f t="shared" si="16"/>
        <v>0</v>
      </c>
    </row>
    <row r="49" spans="1:42" ht="21.75" customHeight="1">
      <c r="A49" s="1238"/>
      <c r="B49" s="190" t="str">
        <f>IF('Food-Data Entry'!N34="खुला",'Food-Data Entry'!M34,'Food-Data Entry'!N34)</f>
        <v>Friday</v>
      </c>
      <c r="C49" s="190" t="str">
        <f>'Food-Data Entry'!O34</f>
        <v>Friday</v>
      </c>
      <c r="D49" s="361">
        <f>'Food-Data Entry'!L34</f>
        <v>45989</v>
      </c>
      <c r="E49" s="357" t="str">
        <f t="shared" si="3"/>
        <v>(Friday)</v>
      </c>
      <c r="F49" s="270">
        <f>'Food-Data Entry'!Z34</f>
        <v>25</v>
      </c>
      <c r="G49" s="561">
        <f>'Food-Data Entry'!AW34</f>
        <v>2.5</v>
      </c>
      <c r="H49" s="561">
        <f>'Food-Data Entry'!AX34</f>
        <v>0</v>
      </c>
      <c r="I49" s="561">
        <f>'MIlk-Data Entry'!BB34</f>
        <v>0</v>
      </c>
      <c r="J49" s="561">
        <f>'Food-Data Entry'!AC34</f>
        <v>12</v>
      </c>
      <c r="K49" s="561">
        <f>'Food-Data Entry'!AY34</f>
        <v>1.8</v>
      </c>
      <c r="L49" s="561">
        <f>'Food-Data Entry'!AZ34</f>
        <v>0</v>
      </c>
      <c r="M49" s="561">
        <f>'MIlk-Data Entry'!BD34</f>
        <v>0</v>
      </c>
      <c r="N49" s="1164" t="str">
        <f>IF(D49="---",0,IF(C49="Holiday","---",VLOOKUP(C49,$Q$22:R54,2,0)))</f>
        <v xml:space="preserve">रोटी -दाल, सब्जी &amp; दूध </v>
      </c>
      <c r="O49" s="1165"/>
      <c r="P49" s="191"/>
      <c r="R49" s="191"/>
      <c r="S49" s="188">
        <f t="shared" si="4"/>
        <v>1</v>
      </c>
      <c r="T49" s="188">
        <f t="shared" si="17"/>
        <v>1</v>
      </c>
      <c r="U49" s="188">
        <f t="shared" si="18"/>
        <v>0</v>
      </c>
      <c r="V49" s="188">
        <f t="shared" si="19"/>
        <v>0</v>
      </c>
      <c r="W49" s="188">
        <f t="shared" si="20"/>
        <v>1</v>
      </c>
      <c r="X49" s="188">
        <f t="shared" si="21"/>
        <v>1</v>
      </c>
      <c r="Y49" s="188">
        <f t="shared" si="22"/>
        <v>0</v>
      </c>
      <c r="Z49" s="188">
        <f t="shared" si="23"/>
        <v>0</v>
      </c>
      <c r="AC49" s="433">
        <f t="shared" si="5"/>
        <v>0</v>
      </c>
      <c r="AD49" s="433">
        <f t="shared" si="6"/>
        <v>0</v>
      </c>
      <c r="AE49" s="433">
        <f t="shared" si="7"/>
        <v>0</v>
      </c>
      <c r="AF49" s="433">
        <f t="shared" si="8"/>
        <v>0</v>
      </c>
      <c r="AG49" s="433"/>
      <c r="AH49" s="433">
        <f t="shared" si="9"/>
        <v>0</v>
      </c>
      <c r="AI49" s="433">
        <f t="shared" si="10"/>
        <v>0</v>
      </c>
      <c r="AJ49" s="433">
        <f t="shared" si="11"/>
        <v>0</v>
      </c>
      <c r="AK49" s="433">
        <f t="shared" si="12"/>
        <v>0</v>
      </c>
      <c r="AL49" s="433"/>
      <c r="AM49" s="433">
        <f t="shared" si="13"/>
        <v>0</v>
      </c>
      <c r="AN49" s="433">
        <f t="shared" si="14"/>
        <v>0</v>
      </c>
      <c r="AO49" s="433">
        <f t="shared" si="15"/>
        <v>0</v>
      </c>
      <c r="AP49" s="433">
        <f t="shared" si="16"/>
        <v>0</v>
      </c>
    </row>
    <row r="50" spans="1:42" ht="21.75" customHeight="1">
      <c r="A50" s="1238"/>
      <c r="B50" s="190" t="str">
        <f>IF('Food-Data Entry'!N35="खुला",'Food-Data Entry'!M35,'Food-Data Entry'!N35)</f>
        <v>Saturday</v>
      </c>
      <c r="C50" s="190" t="str">
        <f>'Food-Data Entry'!O35</f>
        <v>Saturday</v>
      </c>
      <c r="D50" s="361">
        <f>'Food-Data Entry'!L35</f>
        <v>45990</v>
      </c>
      <c r="E50" s="357" t="str">
        <f t="shared" si="3"/>
        <v>(Saturday)</v>
      </c>
      <c r="F50" s="270">
        <f>'Food-Data Entry'!Z35</f>
        <v>25</v>
      </c>
      <c r="G50" s="561">
        <f>'Food-Data Entry'!AW35</f>
        <v>2.5</v>
      </c>
      <c r="H50" s="561">
        <f>'Food-Data Entry'!AX35</f>
        <v>0</v>
      </c>
      <c r="I50" s="561">
        <f>'MIlk-Data Entry'!BB35</f>
        <v>0</v>
      </c>
      <c r="J50" s="561">
        <f>'Food-Data Entry'!AC35</f>
        <v>12</v>
      </c>
      <c r="K50" s="561">
        <f>'Food-Data Entry'!AY35</f>
        <v>1.8</v>
      </c>
      <c r="L50" s="561">
        <f>'Food-Data Entry'!AZ35</f>
        <v>0</v>
      </c>
      <c r="M50" s="561">
        <f>'MIlk-Data Entry'!BD35</f>
        <v>0</v>
      </c>
      <c r="N50" s="1164" t="str">
        <f>IF(D50="---",0,IF(C50="Holiday","---",VLOOKUP(C50,$Q$22:R55,2,0)))</f>
        <v xml:space="preserve">रोटी -दाल, सब्जी &amp; दूध </v>
      </c>
      <c r="O50" s="1165"/>
      <c r="P50" s="191"/>
      <c r="R50" s="191"/>
      <c r="S50" s="188">
        <f t="shared" si="4"/>
        <v>1</v>
      </c>
      <c r="T50" s="188">
        <f t="shared" si="17"/>
        <v>1</v>
      </c>
      <c r="U50" s="188">
        <f t="shared" si="18"/>
        <v>0</v>
      </c>
      <c r="V50" s="188">
        <f t="shared" si="19"/>
        <v>0</v>
      </c>
      <c r="W50" s="188">
        <f t="shared" si="20"/>
        <v>1</v>
      </c>
      <c r="X50" s="188">
        <f t="shared" si="21"/>
        <v>1</v>
      </c>
      <c r="Y50" s="188">
        <f t="shared" si="22"/>
        <v>0</v>
      </c>
      <c r="Z50" s="188">
        <f t="shared" si="23"/>
        <v>0</v>
      </c>
      <c r="AC50" s="433">
        <f t="shared" si="5"/>
        <v>0</v>
      </c>
      <c r="AD50" s="433">
        <f t="shared" si="6"/>
        <v>0</v>
      </c>
      <c r="AE50" s="433">
        <f t="shared" si="7"/>
        <v>0</v>
      </c>
      <c r="AF50" s="433">
        <f t="shared" si="8"/>
        <v>0</v>
      </c>
      <c r="AG50" s="433"/>
      <c r="AH50" s="433">
        <f t="shared" si="9"/>
        <v>0</v>
      </c>
      <c r="AI50" s="433">
        <f t="shared" si="10"/>
        <v>0</v>
      </c>
      <c r="AJ50" s="433">
        <f t="shared" si="11"/>
        <v>0</v>
      </c>
      <c r="AK50" s="433">
        <f t="shared" si="12"/>
        <v>0</v>
      </c>
      <c r="AL50" s="433"/>
      <c r="AM50" s="433">
        <f t="shared" si="13"/>
        <v>0</v>
      </c>
      <c r="AN50" s="433">
        <f t="shared" si="14"/>
        <v>0</v>
      </c>
      <c r="AO50" s="433">
        <f t="shared" si="15"/>
        <v>0</v>
      </c>
      <c r="AP50" s="433">
        <f t="shared" si="16"/>
        <v>0</v>
      </c>
    </row>
    <row r="51" spans="1:42" ht="21.75" customHeight="1">
      <c r="A51" s="1238"/>
      <c r="B51" s="190" t="str">
        <f>IF('Food-Data Entry'!N36="खुला",'Food-Data Entry'!M36,'Food-Data Entry'!N36)</f>
        <v>रवि॰अव॰</v>
      </c>
      <c r="C51" s="190" t="str">
        <f>'Food-Data Entry'!O36</f>
        <v>Holiday</v>
      </c>
      <c r="D51" s="361">
        <f>'Food-Data Entry'!L36</f>
        <v>45991</v>
      </c>
      <c r="E51" s="357" t="str">
        <f t="shared" si="3"/>
        <v>(रवि॰अव॰)</v>
      </c>
      <c r="F51" s="270">
        <f>'Food-Data Entry'!Z36</f>
        <v>0</v>
      </c>
      <c r="G51" s="561">
        <f>'Food-Data Entry'!AW36</f>
        <v>0</v>
      </c>
      <c r="H51" s="561">
        <f>'Food-Data Entry'!AX36</f>
        <v>0</v>
      </c>
      <c r="I51" s="561">
        <f>'MIlk-Data Entry'!BB36</f>
        <v>0</v>
      </c>
      <c r="J51" s="561">
        <f>'Food-Data Entry'!AC36</f>
        <v>0</v>
      </c>
      <c r="K51" s="561">
        <f>'Food-Data Entry'!AY36</f>
        <v>0</v>
      </c>
      <c r="L51" s="561">
        <f>'Food-Data Entry'!AZ36</f>
        <v>0</v>
      </c>
      <c r="M51" s="561">
        <f>'MIlk-Data Entry'!BD36</f>
        <v>0</v>
      </c>
      <c r="N51" s="1164" t="str">
        <f>IF(D51="---",0,IF(C51="Holiday","---",VLOOKUP(C51,$Q$22:R56,2,0)))</f>
        <v>---</v>
      </c>
      <c r="O51" s="1165"/>
      <c r="P51" s="191"/>
      <c r="R51" s="191"/>
      <c r="S51" s="188">
        <f t="shared" si="4"/>
        <v>0</v>
      </c>
      <c r="T51" s="188">
        <f t="shared" si="17"/>
        <v>0</v>
      </c>
      <c r="U51" s="188">
        <f t="shared" si="18"/>
        <v>0</v>
      </c>
      <c r="V51" s="188">
        <f t="shared" si="19"/>
        <v>0</v>
      </c>
      <c r="W51" s="188">
        <f t="shared" si="20"/>
        <v>0</v>
      </c>
      <c r="X51" s="188">
        <f t="shared" si="21"/>
        <v>0</v>
      </c>
      <c r="Y51" s="188">
        <f t="shared" si="22"/>
        <v>0</v>
      </c>
      <c r="Z51" s="188">
        <f t="shared" si="23"/>
        <v>0</v>
      </c>
      <c r="AC51" s="433">
        <f t="shared" si="5"/>
        <v>0</v>
      </c>
      <c r="AD51" s="433">
        <f t="shared" si="6"/>
        <v>0</v>
      </c>
      <c r="AE51" s="433">
        <f t="shared" si="7"/>
        <v>0</v>
      </c>
      <c r="AF51" s="433">
        <f t="shared" si="8"/>
        <v>0</v>
      </c>
      <c r="AG51" s="433"/>
      <c r="AH51" s="433">
        <f t="shared" si="9"/>
        <v>0</v>
      </c>
      <c r="AI51" s="433">
        <f t="shared" si="10"/>
        <v>0</v>
      </c>
      <c r="AJ51" s="433">
        <f t="shared" si="11"/>
        <v>0</v>
      </c>
      <c r="AK51" s="433">
        <f t="shared" si="12"/>
        <v>0</v>
      </c>
      <c r="AL51" s="433"/>
      <c r="AM51" s="433">
        <f t="shared" si="13"/>
        <v>0</v>
      </c>
      <c r="AN51" s="433">
        <f t="shared" si="14"/>
        <v>0</v>
      </c>
      <c r="AO51" s="433">
        <f t="shared" si="15"/>
        <v>0</v>
      </c>
      <c r="AP51" s="433">
        <f t="shared" si="16"/>
        <v>0</v>
      </c>
    </row>
    <row r="52" spans="1:42" ht="21.75" customHeight="1" thickBot="1">
      <c r="A52" s="1238"/>
      <c r="B52" s="190" t="str">
        <f>IF('Food-Data Entry'!N37="खुला",'Food-Data Entry'!M37,'Food-Data Entry'!N37)</f>
        <v>---</v>
      </c>
      <c r="C52" s="190" t="str">
        <f>'Food-Data Entry'!O37</f>
        <v>---</v>
      </c>
      <c r="D52" s="363" t="str">
        <f>'Food-Data Entry'!L37</f>
        <v>---</v>
      </c>
      <c r="E52" s="364" t="str">
        <f>CONCATENATE("(",'Food-Data Entry'!M37,")")</f>
        <v>(---)</v>
      </c>
      <c r="F52" s="271">
        <f>'Food-Data Entry'!Z37</f>
        <v>25</v>
      </c>
      <c r="G52" s="562">
        <f>'Food-Data Entry'!AW37</f>
        <v>0</v>
      </c>
      <c r="H52" s="562">
        <f>'Food-Data Entry'!AX37</f>
        <v>0</v>
      </c>
      <c r="I52" s="562">
        <f>'MIlk-Data Entry'!BB37</f>
        <v>0</v>
      </c>
      <c r="J52" s="562">
        <f>'Food-Data Entry'!AC37</f>
        <v>12</v>
      </c>
      <c r="K52" s="562">
        <f>'Food-Data Entry'!AY37</f>
        <v>0</v>
      </c>
      <c r="L52" s="562">
        <f>'Food-Data Entry'!AZ37</f>
        <v>0</v>
      </c>
      <c r="M52" s="562">
        <f>'MIlk-Data Entry'!BD37</f>
        <v>0</v>
      </c>
      <c r="N52" s="1166">
        <f>IF(D52="---",0,IF(C52="Holiday","---",VLOOKUP(C52,$Q$22:R57,2,0)))</f>
        <v>0</v>
      </c>
      <c r="O52" s="1167"/>
      <c r="P52" s="191"/>
      <c r="R52" s="191"/>
      <c r="S52" s="188">
        <f t="shared" si="4"/>
        <v>1</v>
      </c>
      <c r="T52" s="188">
        <f t="shared" si="17"/>
        <v>0</v>
      </c>
      <c r="U52" s="188">
        <f t="shared" si="18"/>
        <v>0</v>
      </c>
      <c r="V52" s="188">
        <f t="shared" si="19"/>
        <v>0</v>
      </c>
      <c r="W52" s="188">
        <f t="shared" si="20"/>
        <v>1</v>
      </c>
      <c r="X52" s="188">
        <f t="shared" si="21"/>
        <v>0</v>
      </c>
      <c r="Y52" s="188">
        <f t="shared" si="22"/>
        <v>0</v>
      </c>
      <c r="Z52" s="188">
        <f t="shared" si="23"/>
        <v>0</v>
      </c>
      <c r="AC52" s="433">
        <f t="shared" si="5"/>
        <v>0</v>
      </c>
      <c r="AD52" s="433">
        <f t="shared" si="6"/>
        <v>0</v>
      </c>
      <c r="AE52" s="433">
        <f t="shared" si="7"/>
        <v>0</v>
      </c>
      <c r="AF52" s="433">
        <f t="shared" si="8"/>
        <v>0</v>
      </c>
      <c r="AG52" s="433"/>
      <c r="AH52" s="433">
        <f t="shared" si="9"/>
        <v>0</v>
      </c>
      <c r="AI52" s="433">
        <f t="shared" si="10"/>
        <v>0</v>
      </c>
      <c r="AJ52" s="433">
        <f t="shared" si="11"/>
        <v>0</v>
      </c>
      <c r="AK52" s="433">
        <f t="shared" si="12"/>
        <v>0</v>
      </c>
      <c r="AL52" s="433"/>
      <c r="AM52" s="433">
        <f t="shared" si="13"/>
        <v>0</v>
      </c>
      <c r="AN52" s="433">
        <f t="shared" si="14"/>
        <v>0</v>
      </c>
      <c r="AO52" s="433">
        <f t="shared" si="15"/>
        <v>0</v>
      </c>
      <c r="AP52" s="433">
        <f t="shared" si="16"/>
        <v>0</v>
      </c>
    </row>
    <row r="53" spans="1:42" ht="21.75" customHeight="1">
      <c r="A53" s="1238"/>
      <c r="B53" s="190"/>
      <c r="C53" s="190"/>
      <c r="D53" s="1215" t="s">
        <v>470</v>
      </c>
      <c r="E53" s="1216"/>
      <c r="F53" s="365">
        <f>SUM(F22:F52)</f>
        <v>761</v>
      </c>
      <c r="G53" s="563">
        <f t="shared" ref="G53:M53" si="24">SUM(G22:G52)</f>
        <v>53.6</v>
      </c>
      <c r="H53" s="563">
        <f>SUM(H22:H52)</f>
        <v>20</v>
      </c>
      <c r="I53" s="563">
        <f t="shared" si="24"/>
        <v>0.45</v>
      </c>
      <c r="J53" s="563">
        <f>SUM(J22:J52)</f>
        <v>312</v>
      </c>
      <c r="K53" s="563">
        <f t="shared" si="24"/>
        <v>30.600000000000009</v>
      </c>
      <c r="L53" s="563">
        <f t="shared" si="24"/>
        <v>14.400000000000002</v>
      </c>
      <c r="M53" s="563">
        <f t="shared" si="24"/>
        <v>0.24</v>
      </c>
      <c r="N53" s="1160"/>
      <c r="O53" s="1161"/>
      <c r="P53" s="191"/>
      <c r="Q53" s="191"/>
      <c r="R53" s="191"/>
      <c r="S53" s="193">
        <f>SUM(S22:S52)</f>
        <v>26</v>
      </c>
      <c r="T53" s="193">
        <f t="shared" ref="T53:Z53" si="25">SUM(T22:T52)</f>
        <v>17</v>
      </c>
      <c r="U53" s="193">
        <f t="shared" si="25"/>
        <v>8</v>
      </c>
      <c r="V53" s="193">
        <f t="shared" si="25"/>
        <v>1</v>
      </c>
      <c r="W53" s="193">
        <f t="shared" si="25"/>
        <v>26</v>
      </c>
      <c r="X53" s="193">
        <f t="shared" si="25"/>
        <v>17</v>
      </c>
      <c r="Y53" s="193">
        <f t="shared" si="25"/>
        <v>8</v>
      </c>
      <c r="Z53" s="193">
        <f t="shared" si="25"/>
        <v>1</v>
      </c>
      <c r="AC53" s="1156" t="s">
        <v>56</v>
      </c>
      <c r="AD53" s="1156"/>
      <c r="AE53" s="1156"/>
      <c r="AF53" s="1156"/>
      <c r="AG53" s="1156"/>
      <c r="AH53" s="433">
        <f>SUM(AH22:AH52)</f>
        <v>0</v>
      </c>
      <c r="AI53" s="433">
        <f t="shared" ref="AI53:AP53" si="26">SUM(AI22:AI52)</f>
        <v>0</v>
      </c>
      <c r="AJ53" s="433">
        <f t="shared" si="26"/>
        <v>0</v>
      </c>
      <c r="AK53" s="433">
        <f t="shared" si="26"/>
        <v>176</v>
      </c>
      <c r="AL53" s="433">
        <f t="shared" si="26"/>
        <v>0</v>
      </c>
      <c r="AM53" s="433">
        <f t="shared" si="26"/>
        <v>0</v>
      </c>
      <c r="AN53" s="433">
        <f t="shared" si="26"/>
        <v>0</v>
      </c>
      <c r="AO53" s="433">
        <f t="shared" si="26"/>
        <v>0</v>
      </c>
      <c r="AP53" s="433">
        <f t="shared" si="26"/>
        <v>48</v>
      </c>
    </row>
    <row r="54" spans="1:42" ht="21.75" customHeight="1" thickBot="1">
      <c r="A54" s="1238"/>
      <c r="B54" s="190"/>
      <c r="C54" s="190"/>
      <c r="D54" s="1233" t="s">
        <v>370</v>
      </c>
      <c r="E54" s="1234"/>
      <c r="F54" s="362">
        <f>S53</f>
        <v>26</v>
      </c>
      <c r="G54" s="362">
        <f>T53</f>
        <v>17</v>
      </c>
      <c r="H54" s="362">
        <f t="shared" ref="H54:M54" si="27">U53</f>
        <v>8</v>
      </c>
      <c r="I54" s="362">
        <f t="shared" si="27"/>
        <v>1</v>
      </c>
      <c r="J54" s="362">
        <f t="shared" si="27"/>
        <v>26</v>
      </c>
      <c r="K54" s="362">
        <f t="shared" si="27"/>
        <v>17</v>
      </c>
      <c r="L54" s="362">
        <f t="shared" si="27"/>
        <v>8</v>
      </c>
      <c r="M54" s="362">
        <f t="shared" si="27"/>
        <v>1</v>
      </c>
      <c r="N54" s="1162"/>
      <c r="O54" s="1163"/>
      <c r="P54" s="191"/>
      <c r="Q54" s="191"/>
      <c r="R54" s="191"/>
    </row>
    <row r="55" spans="1:42" ht="50.25" customHeight="1" thickBot="1">
      <c r="A55" s="1238"/>
      <c r="B55" s="190"/>
      <c r="C55" s="190"/>
      <c r="D55" s="1214" t="s">
        <v>347</v>
      </c>
      <c r="E55" s="1157"/>
      <c r="F55" s="1157"/>
      <c r="G55" s="1159"/>
      <c r="H55" s="1159"/>
      <c r="I55" s="1159"/>
      <c r="J55" s="1159"/>
      <c r="K55" s="1159"/>
      <c r="L55" s="1157" t="s">
        <v>246</v>
      </c>
      <c r="M55" s="1157"/>
      <c r="N55" s="1157"/>
      <c r="O55" s="1158"/>
      <c r="P55" s="191"/>
      <c r="Q55" s="191"/>
      <c r="R55" s="191"/>
    </row>
    <row r="56" spans="1:42" ht="17.25" customHeight="1"/>
  </sheetData>
  <sheetProtection password="E8FA" sheet="1" objects="1" scenarios="1" formatCells="0" formatColumns="0" formatRows="0" selectLockedCells="1"/>
  <mergeCells count="96">
    <mergeCell ref="A1:P1"/>
    <mergeCell ref="A2:A55"/>
    <mergeCell ref="D6:E6"/>
    <mergeCell ref="K6:M6"/>
    <mergeCell ref="D4:H4"/>
    <mergeCell ref="D5:I5"/>
    <mergeCell ref="D7:E7"/>
    <mergeCell ref="F7:G7"/>
    <mergeCell ref="H7:J7"/>
    <mergeCell ref="D8:E8"/>
    <mergeCell ref="J19:J21"/>
    <mergeCell ref="K19:M19"/>
    <mergeCell ref="D2:O2"/>
    <mergeCell ref="D3:O3"/>
    <mergeCell ref="I4:O4"/>
    <mergeCell ref="L5:M5"/>
    <mergeCell ref="N5:O5"/>
    <mergeCell ref="R2:R8"/>
    <mergeCell ref="F11:G11"/>
    <mergeCell ref="H11:J11"/>
    <mergeCell ref="D55:F55"/>
    <mergeCell ref="D53:E53"/>
    <mergeCell ref="D19:E21"/>
    <mergeCell ref="D12:E12"/>
    <mergeCell ref="F12:G12"/>
    <mergeCell ref="G19:I19"/>
    <mergeCell ref="F19:F21"/>
    <mergeCell ref="D13:F13"/>
    <mergeCell ref="G13:H13"/>
    <mergeCell ref="D54:E54"/>
    <mergeCell ref="J5:K5"/>
    <mergeCell ref="D11:E11"/>
    <mergeCell ref="D10:E10"/>
    <mergeCell ref="F10:G10"/>
    <mergeCell ref="H10:J10"/>
    <mergeCell ref="F8:G8"/>
    <mergeCell ref="H8:J8"/>
    <mergeCell ref="D9:E9"/>
    <mergeCell ref="F9:G9"/>
    <mergeCell ref="H9:J9"/>
    <mergeCell ref="D14:D15"/>
    <mergeCell ref="E14:F14"/>
    <mergeCell ref="G14:H14"/>
    <mergeCell ref="I14:J14"/>
    <mergeCell ref="K14:L14"/>
    <mergeCell ref="N19:O21"/>
    <mergeCell ref="N22:O22"/>
    <mergeCell ref="N23:O23"/>
    <mergeCell ref="K7:O7"/>
    <mergeCell ref="K8:O8"/>
    <mergeCell ref="K9:O9"/>
    <mergeCell ref="K10:O10"/>
    <mergeCell ref="J13:K13"/>
    <mergeCell ref="K11:O11"/>
    <mergeCell ref="K12:O12"/>
    <mergeCell ref="M13:N13"/>
    <mergeCell ref="M14:N14"/>
    <mergeCell ref="H12:J12"/>
    <mergeCell ref="O14:O15"/>
    <mergeCell ref="N24:O24"/>
    <mergeCell ref="N25:O25"/>
    <mergeCell ref="N26:O26"/>
    <mergeCell ref="N27:O27"/>
    <mergeCell ref="N28:O28"/>
    <mergeCell ref="N6:O6"/>
    <mergeCell ref="F6:J6"/>
    <mergeCell ref="N49:O49"/>
    <mergeCell ref="N50:O50"/>
    <mergeCell ref="N44:O44"/>
    <mergeCell ref="N45:O45"/>
    <mergeCell ref="N46:O46"/>
    <mergeCell ref="N47:O47"/>
    <mergeCell ref="N48:O48"/>
    <mergeCell ref="N39:O39"/>
    <mergeCell ref="N40:O40"/>
    <mergeCell ref="N41:O41"/>
    <mergeCell ref="N42:O42"/>
    <mergeCell ref="N43:O43"/>
    <mergeCell ref="N34:O34"/>
    <mergeCell ref="N33:O33"/>
    <mergeCell ref="AH20:AK20"/>
    <mergeCell ref="AM20:AP20"/>
    <mergeCell ref="AC53:AG53"/>
    <mergeCell ref="L55:O55"/>
    <mergeCell ref="G55:K55"/>
    <mergeCell ref="N53:O54"/>
    <mergeCell ref="N51:O51"/>
    <mergeCell ref="N52:O52"/>
    <mergeCell ref="N35:O35"/>
    <mergeCell ref="N36:O36"/>
    <mergeCell ref="N37:O37"/>
    <mergeCell ref="N38:O38"/>
    <mergeCell ref="N29:O29"/>
    <mergeCell ref="N30:O30"/>
    <mergeCell ref="N31:O31"/>
    <mergeCell ref="N32:O32"/>
  </mergeCells>
  <conditionalFormatting sqref="B22:C52 F22:M52">
    <cfRule type="expression" dxfId="17" priority="4">
      <formula>$C22="Holiday"</formula>
    </cfRule>
  </conditionalFormatting>
  <conditionalFormatting sqref="I22:I52 M22:M52">
    <cfRule type="cellIs" dxfId="16" priority="3" operator="equal">
      <formula>0</formula>
    </cfRule>
  </conditionalFormatting>
  <conditionalFormatting sqref="B22:O52">
    <cfRule type="expression" dxfId="15" priority="1">
      <formula>$B22="---"</formula>
    </cfRule>
  </conditionalFormatting>
  <pageMargins left="0.25" right="0.18" top="0.19" bottom="0.18" header="0.17" footer="0.16"/>
  <pageSetup scale="68" orientation="portrait" r:id="rId1"/>
</worksheet>
</file>

<file path=xl/worksheets/sheet8.xml><?xml version="1.0" encoding="utf-8"?>
<worksheet xmlns="http://schemas.openxmlformats.org/spreadsheetml/2006/main" xmlns:r="http://schemas.openxmlformats.org/officeDocument/2006/relationships">
  <sheetPr>
    <tabColor rgb="FF00B050"/>
  </sheetPr>
  <dimension ref="A1:AC123"/>
  <sheetViews>
    <sheetView showGridLines="0" topLeftCell="A3" workbookViewId="0">
      <selection activeCell="W81" activeCellId="5" sqref="E80:G80 E81:G81 M80:O80 M81:O81 W80:Z80 W81:Z81"/>
    </sheetView>
  </sheetViews>
  <sheetFormatPr defaultColWidth="0" defaultRowHeight="0" customHeight="1" zeroHeight="1"/>
  <cols>
    <col min="1" max="1" width="3" style="17" customWidth="1"/>
    <col min="2" max="2" width="4.85546875" style="33" customWidth="1"/>
    <col min="3" max="3" width="11.42578125" style="33" customWidth="1"/>
    <col min="4" max="4" width="12.28515625" style="33" customWidth="1"/>
    <col min="5" max="5" width="7.140625" style="33" bestFit="1" customWidth="1"/>
    <col min="6" max="10" width="6.5703125" style="33" customWidth="1"/>
    <col min="11" max="11" width="8.85546875" style="33" bestFit="1" customWidth="1"/>
    <col min="12" max="14" width="6.5703125" style="33" customWidth="1"/>
    <col min="15" max="15" width="8.85546875" style="33" bestFit="1" customWidth="1"/>
    <col min="16" max="16" width="6.5703125" style="33" customWidth="1"/>
    <col min="17" max="24" width="6" style="33" customWidth="1"/>
    <col min="25" max="25" width="5" style="33" customWidth="1"/>
    <col min="26" max="26" width="10.140625" style="17" customWidth="1"/>
    <col min="27" max="27" width="3.28515625" style="17" customWidth="1"/>
    <col min="28" max="28" width="9.140625" style="17" hidden="1" customWidth="1"/>
    <col min="29" max="29" width="10.42578125" style="17" hidden="1" customWidth="1"/>
    <col min="30" max="16384" width="9.140625" style="17" hidden="1"/>
  </cols>
  <sheetData>
    <row r="1" spans="1:29" ht="15.75" thickBot="1">
      <c r="A1" s="763"/>
      <c r="B1" s="763"/>
      <c r="C1" s="763"/>
      <c r="D1" s="763"/>
      <c r="E1" s="763"/>
      <c r="F1" s="763"/>
      <c r="G1" s="763"/>
      <c r="H1" s="763"/>
      <c r="I1" s="763"/>
      <c r="J1" s="763"/>
      <c r="K1" s="763"/>
      <c r="L1" s="763"/>
      <c r="M1" s="763"/>
      <c r="N1" s="763"/>
      <c r="O1" s="763"/>
      <c r="P1" s="763"/>
      <c r="Q1" s="763"/>
      <c r="R1" s="763"/>
      <c r="S1" s="763"/>
      <c r="T1" s="763"/>
      <c r="U1" s="763"/>
      <c r="V1" s="763"/>
      <c r="W1" s="763"/>
      <c r="X1" s="763"/>
      <c r="Y1" s="763"/>
      <c r="Z1" s="763"/>
      <c r="AA1" s="763"/>
    </row>
    <row r="2" spans="1:29" s="46" customFormat="1" ht="25.5" customHeight="1" thickBot="1">
      <c r="A2" s="776"/>
      <c r="B2" s="1255" t="str">
        <f>'Food-Data Entry'!B2</f>
        <v>Office: Govt. Sr. Sec. School Raimalwada, Bapini (Phalodi)</v>
      </c>
      <c r="C2" s="1256"/>
      <c r="D2" s="1256"/>
      <c r="E2" s="1257"/>
      <c r="F2" s="1257"/>
      <c r="G2" s="1257"/>
      <c r="H2" s="1257"/>
      <c r="I2" s="1257"/>
      <c r="J2" s="1257"/>
      <c r="K2" s="1257"/>
      <c r="L2" s="1257"/>
      <c r="M2" s="1257"/>
      <c r="N2" s="1257"/>
      <c r="O2" s="1256"/>
      <c r="P2" s="1256"/>
      <c r="Q2" s="1256"/>
      <c r="R2" s="1256"/>
      <c r="S2" s="1256"/>
      <c r="T2" s="1256"/>
      <c r="U2" s="1256"/>
      <c r="V2" s="1256"/>
      <c r="W2" s="1256"/>
      <c r="X2" s="1256"/>
      <c r="Y2" s="1256"/>
      <c r="Z2" s="1258"/>
      <c r="AA2" s="763"/>
      <c r="AC2" s="57">
        <f>EOMONTH('Food-Data Entry'!AM3,-1)+1</f>
        <v>45962</v>
      </c>
    </row>
    <row r="3" spans="1:29" ht="22.5" customHeight="1" thickBot="1">
      <c r="A3" s="776"/>
      <c r="B3" s="1259"/>
      <c r="C3" s="1260"/>
      <c r="D3" s="1261"/>
      <c r="E3" s="1262" t="s">
        <v>168</v>
      </c>
      <c r="F3" s="1263"/>
      <c r="G3" s="1263"/>
      <c r="H3" s="1263"/>
      <c r="I3" s="1263"/>
      <c r="J3" s="1263"/>
      <c r="K3" s="1263"/>
      <c r="L3" s="1263"/>
      <c r="M3" s="1263"/>
      <c r="N3" s="1263"/>
      <c r="O3" s="1263"/>
      <c r="P3" s="1263"/>
      <c r="Q3" s="1263"/>
      <c r="R3" s="1263"/>
      <c r="S3" s="1263"/>
      <c r="T3" s="1263"/>
      <c r="U3" s="1331"/>
      <c r="V3" s="1264" t="s">
        <v>248</v>
      </c>
      <c r="W3" s="1265"/>
      <c r="X3" s="1265" t="str">
        <f>CONCATENATE('School Info'!I6,"-",'School Info'!K6)</f>
        <v>November-2025</v>
      </c>
      <c r="Y3" s="1265"/>
      <c r="Z3" s="1266"/>
      <c r="AA3" s="763"/>
      <c r="AC3" s="58">
        <f>EOMONTH('Food-Data Entry'!AM3,0)</f>
        <v>45991</v>
      </c>
    </row>
    <row r="4" spans="1:29" ht="21" thickBot="1">
      <c r="A4" s="776"/>
      <c r="B4" s="1267" t="s">
        <v>122</v>
      </c>
      <c r="C4" s="1271" t="s">
        <v>123</v>
      </c>
      <c r="D4" s="1275" t="s">
        <v>51</v>
      </c>
      <c r="E4" s="1278" t="s">
        <v>140</v>
      </c>
      <c r="F4" s="1279"/>
      <c r="G4" s="1279"/>
      <c r="H4" s="1279"/>
      <c r="I4" s="1279"/>
      <c r="J4" s="1279"/>
      <c r="K4" s="1279"/>
      <c r="L4" s="1279"/>
      <c r="M4" s="1279"/>
      <c r="N4" s="1279"/>
      <c r="O4" s="1279"/>
      <c r="P4" s="1280"/>
      <c r="Q4" s="1281" t="s">
        <v>169</v>
      </c>
      <c r="R4" s="1282"/>
      <c r="S4" s="1282"/>
      <c r="T4" s="1282"/>
      <c r="U4" s="1282"/>
      <c r="V4" s="1282"/>
      <c r="W4" s="1282"/>
      <c r="X4" s="1282"/>
      <c r="Y4" s="1283"/>
      <c r="Z4" s="1284" t="s">
        <v>124</v>
      </c>
      <c r="AA4" s="763"/>
    </row>
    <row r="5" spans="1:29" ht="26.25" customHeight="1">
      <c r="A5" s="776"/>
      <c r="B5" s="1268"/>
      <c r="C5" s="1272"/>
      <c r="D5" s="1276"/>
      <c r="E5" s="1287" t="s">
        <v>125</v>
      </c>
      <c r="F5" s="1288"/>
      <c r="G5" s="1287" t="s">
        <v>154</v>
      </c>
      <c r="H5" s="1288"/>
      <c r="I5" s="1287" t="s">
        <v>155</v>
      </c>
      <c r="J5" s="1288"/>
      <c r="K5" s="1289" t="s">
        <v>126</v>
      </c>
      <c r="L5" s="1290"/>
      <c r="M5" s="1287" t="s">
        <v>143</v>
      </c>
      <c r="N5" s="1288"/>
      <c r="O5" s="1291" t="s">
        <v>127</v>
      </c>
      <c r="P5" s="1292"/>
      <c r="Q5" s="1293" t="s">
        <v>156</v>
      </c>
      <c r="R5" s="1294"/>
      <c r="S5" s="1295"/>
      <c r="T5" s="1293" t="s">
        <v>157</v>
      </c>
      <c r="U5" s="1294"/>
      <c r="V5" s="1295"/>
      <c r="W5" s="1293" t="s">
        <v>158</v>
      </c>
      <c r="X5" s="1294"/>
      <c r="Y5" s="1295"/>
      <c r="Z5" s="1285"/>
      <c r="AA5" s="763"/>
    </row>
    <row r="6" spans="1:29" ht="15" customHeight="1">
      <c r="A6" s="776"/>
      <c r="B6" s="1269"/>
      <c r="C6" s="1273"/>
      <c r="D6" s="1276"/>
      <c r="E6" s="1296" t="s">
        <v>128</v>
      </c>
      <c r="F6" s="1297"/>
      <c r="G6" s="1296" t="s">
        <v>128</v>
      </c>
      <c r="H6" s="1297"/>
      <c r="I6" s="1296" t="s">
        <v>128</v>
      </c>
      <c r="J6" s="1297"/>
      <c r="K6" s="1298" t="s">
        <v>128</v>
      </c>
      <c r="L6" s="1299"/>
      <c r="M6" s="1296" t="s">
        <v>128</v>
      </c>
      <c r="N6" s="1297"/>
      <c r="O6" s="1298" t="s">
        <v>128</v>
      </c>
      <c r="P6" s="1299"/>
      <c r="Q6" s="1300" t="s">
        <v>128</v>
      </c>
      <c r="R6" s="1301"/>
      <c r="S6" s="1302"/>
      <c r="T6" s="1300" t="s">
        <v>128</v>
      </c>
      <c r="U6" s="1301"/>
      <c r="V6" s="1302"/>
      <c r="W6" s="1300" t="s">
        <v>128</v>
      </c>
      <c r="X6" s="1301"/>
      <c r="Y6" s="1302"/>
      <c r="Z6" s="1285"/>
      <c r="AA6" s="763"/>
    </row>
    <row r="7" spans="1:29" ht="16.5" customHeight="1" thickBot="1">
      <c r="A7" s="776"/>
      <c r="B7" s="1270"/>
      <c r="C7" s="1274"/>
      <c r="D7" s="1277"/>
      <c r="E7" s="66" t="s">
        <v>141</v>
      </c>
      <c r="F7" s="81" t="s">
        <v>142</v>
      </c>
      <c r="G7" s="66" t="s">
        <v>141</v>
      </c>
      <c r="H7" s="81" t="s">
        <v>142</v>
      </c>
      <c r="I7" s="66" t="s">
        <v>141</v>
      </c>
      <c r="J7" s="81" t="s">
        <v>142</v>
      </c>
      <c r="K7" s="92" t="s">
        <v>141</v>
      </c>
      <c r="L7" s="93" t="s">
        <v>142</v>
      </c>
      <c r="M7" s="66" t="s">
        <v>141</v>
      </c>
      <c r="N7" s="81" t="s">
        <v>142</v>
      </c>
      <c r="O7" s="92" t="s">
        <v>141</v>
      </c>
      <c r="P7" s="94" t="s">
        <v>142</v>
      </c>
      <c r="Q7" s="34" t="s">
        <v>159</v>
      </c>
      <c r="R7" s="35" t="s">
        <v>160</v>
      </c>
      <c r="S7" s="82" t="s">
        <v>130</v>
      </c>
      <c r="T7" s="34" t="s">
        <v>159</v>
      </c>
      <c r="U7" s="35" t="s">
        <v>160</v>
      </c>
      <c r="V7" s="82" t="s">
        <v>130</v>
      </c>
      <c r="W7" s="34" t="s">
        <v>159</v>
      </c>
      <c r="X7" s="35" t="s">
        <v>160</v>
      </c>
      <c r="Y7" s="82" t="s">
        <v>130</v>
      </c>
      <c r="Z7" s="1286"/>
      <c r="AA7" s="763"/>
    </row>
    <row r="8" spans="1:29" s="37" customFormat="1" ht="17.25" customHeight="1">
      <c r="A8" s="776"/>
      <c r="B8" s="47">
        <f>IF(C8&lt;AC3,1,0)</f>
        <v>1</v>
      </c>
      <c r="C8" s="48">
        <f>'Food-Data Entry'!L7</f>
        <v>45962</v>
      </c>
      <c r="D8" s="49" t="str">
        <f>'Food-Data Entry'!O7</f>
        <v>Saturday</v>
      </c>
      <c r="E8" s="564">
        <f>('Food-Data Entry'!D10+'Food-Data Entry'!E10+'Food-Data Entry'!H10)-'Food-Data Entry'!J10</f>
        <v>500</v>
      </c>
      <c r="F8" s="565">
        <f>('Food-Data Entry'!D11+'Food-Data Entry'!E11+'Food-Data Entry'!H11)-'Food-Data Entry'!J11</f>
        <v>100</v>
      </c>
      <c r="G8" s="564">
        <f>'Food-Data Entry'!$AD7</f>
        <v>0</v>
      </c>
      <c r="H8" s="565">
        <f>'Food-Data Entry'!$AF7</f>
        <v>0</v>
      </c>
      <c r="I8" s="564">
        <f>'Food-Data Entry'!AH7</f>
        <v>0</v>
      </c>
      <c r="J8" s="565">
        <f>'Food-Data Entry'!AJ7</f>
        <v>0</v>
      </c>
      <c r="K8" s="566">
        <f>E8+G8+I8</f>
        <v>500</v>
      </c>
      <c r="L8" s="567">
        <f>F8+H8+J8</f>
        <v>100</v>
      </c>
      <c r="M8" s="564">
        <f>'Food-Data Entry'!AW7</f>
        <v>6</v>
      </c>
      <c r="N8" s="565">
        <f>'Food-Data Entry'!AX7</f>
        <v>0</v>
      </c>
      <c r="O8" s="566">
        <f t="shared" ref="O8:O38" si="0">K8-M8</f>
        <v>494</v>
      </c>
      <c r="P8" s="568">
        <f t="shared" ref="P8:P38" si="1">L8-N8</f>
        <v>100</v>
      </c>
      <c r="Q8" s="95">
        <f>'Food-Data Entry'!R7</f>
        <v>145</v>
      </c>
      <c r="R8" s="96">
        <f>'Food-Data Entry'!S7</f>
        <v>200</v>
      </c>
      <c r="S8" s="98">
        <f>SUM(Q8:R8)</f>
        <v>345</v>
      </c>
      <c r="T8" s="95">
        <f>'Food-Data Entry'!X7</f>
        <v>30</v>
      </c>
      <c r="U8" s="97">
        <f>'Food-Data Entry'!Y7</f>
        <v>30</v>
      </c>
      <c r="V8" s="98">
        <f>SUM(T8:U8)</f>
        <v>60</v>
      </c>
      <c r="W8" s="95">
        <f>'Food-Data Entry'!X7</f>
        <v>30</v>
      </c>
      <c r="X8" s="97">
        <f>'Food-Data Entry'!Y7</f>
        <v>30</v>
      </c>
      <c r="Y8" s="98">
        <f>SUM(W8:X8)</f>
        <v>60</v>
      </c>
      <c r="Z8" s="50"/>
      <c r="AA8" s="763"/>
      <c r="AB8" s="36" t="e">
        <f>#REF!+#REF!+#REF!+#REF!</f>
        <v>#REF!</v>
      </c>
    </row>
    <row r="9" spans="1:29" s="37" customFormat="1" ht="17.25" customHeight="1">
      <c r="A9" s="776"/>
      <c r="B9" s="47">
        <f>IF(C9&lt;=$AC$3,B8+1,0)</f>
        <v>2</v>
      </c>
      <c r="C9" s="48">
        <f>'Food-Data Entry'!L8</f>
        <v>45963</v>
      </c>
      <c r="D9" s="49" t="str">
        <f>'Food-Data Entry'!O8</f>
        <v>Holiday</v>
      </c>
      <c r="E9" s="569">
        <f>O8</f>
        <v>494</v>
      </c>
      <c r="F9" s="570">
        <f>P8</f>
        <v>100</v>
      </c>
      <c r="G9" s="569">
        <f>'Food-Data Entry'!$AD8</f>
        <v>0</v>
      </c>
      <c r="H9" s="570">
        <f>'Food-Data Entry'!$AF8</f>
        <v>0</v>
      </c>
      <c r="I9" s="569">
        <f>'Food-Data Entry'!AH8</f>
        <v>0</v>
      </c>
      <c r="J9" s="570">
        <f>'Food-Data Entry'!AJ8</f>
        <v>0</v>
      </c>
      <c r="K9" s="571">
        <f t="shared" ref="K9:K38" si="2">E9+G9+I9</f>
        <v>494</v>
      </c>
      <c r="L9" s="572">
        <f t="shared" ref="L9:L38" si="3">F9+H9+J9</f>
        <v>100</v>
      </c>
      <c r="M9" s="569">
        <f>'Food-Data Entry'!AW8</f>
        <v>0</v>
      </c>
      <c r="N9" s="570">
        <f>'Food-Data Entry'!AX8</f>
        <v>0</v>
      </c>
      <c r="O9" s="571">
        <f t="shared" si="0"/>
        <v>494</v>
      </c>
      <c r="P9" s="573">
        <f t="shared" si="1"/>
        <v>100</v>
      </c>
      <c r="Q9" s="99">
        <f>'Food-Data Entry'!R8</f>
        <v>145</v>
      </c>
      <c r="R9" s="100">
        <f>'Food-Data Entry'!S8</f>
        <v>200</v>
      </c>
      <c r="S9" s="103">
        <f t="shared" ref="S9:S38" si="4">SUM(Q9:R9)</f>
        <v>345</v>
      </c>
      <c r="T9" s="99">
        <f>'Food-Data Entry'!X8</f>
        <v>0</v>
      </c>
      <c r="U9" s="100">
        <f>'Food-Data Entry'!Y8</f>
        <v>0</v>
      </c>
      <c r="V9" s="103">
        <f t="shared" ref="V9:V38" si="5">SUM(T9:U9)</f>
        <v>0</v>
      </c>
      <c r="W9" s="99">
        <f>'Food-Data Entry'!X8</f>
        <v>0</v>
      </c>
      <c r="X9" s="100">
        <f>'Food-Data Entry'!Y8</f>
        <v>0</v>
      </c>
      <c r="Y9" s="103">
        <f t="shared" ref="Y9:Y38" si="6">SUM(W9:X9)</f>
        <v>0</v>
      </c>
      <c r="Z9" s="51"/>
      <c r="AA9" s="763"/>
      <c r="AB9" s="36" t="e">
        <f>#REF!+#REF!+#REF!+#REF!</f>
        <v>#REF!</v>
      </c>
    </row>
    <row r="10" spans="1:29" s="37" customFormat="1" ht="17.25" customHeight="1">
      <c r="A10" s="776"/>
      <c r="B10" s="47">
        <f t="shared" ref="B10:B38" si="7">IF(C10&lt;=$AC$3,B9+1,0)</f>
        <v>3</v>
      </c>
      <c r="C10" s="48">
        <f>'Food-Data Entry'!L9</f>
        <v>45964</v>
      </c>
      <c r="D10" s="49" t="str">
        <f>'Food-Data Entry'!O9</f>
        <v>Monday</v>
      </c>
      <c r="E10" s="569">
        <f t="shared" ref="E10:E26" si="8">O9</f>
        <v>494</v>
      </c>
      <c r="F10" s="570">
        <f t="shared" ref="F10:F26" si="9">P9</f>
        <v>100</v>
      </c>
      <c r="G10" s="569">
        <f>'Food-Data Entry'!$AD9</f>
        <v>0</v>
      </c>
      <c r="H10" s="570">
        <f>'Food-Data Entry'!$AF9</f>
        <v>0</v>
      </c>
      <c r="I10" s="569">
        <f>'Food-Data Entry'!AH9</f>
        <v>0</v>
      </c>
      <c r="J10" s="570">
        <f>'Food-Data Entry'!AJ9</f>
        <v>0</v>
      </c>
      <c r="K10" s="571">
        <f t="shared" si="2"/>
        <v>494</v>
      </c>
      <c r="L10" s="572">
        <f t="shared" si="3"/>
        <v>100</v>
      </c>
      <c r="M10" s="569">
        <f>'Food-Data Entry'!AW9</f>
        <v>10.1</v>
      </c>
      <c r="N10" s="570">
        <f>'Food-Data Entry'!AX9</f>
        <v>0</v>
      </c>
      <c r="O10" s="571">
        <f t="shared" si="0"/>
        <v>483.9</v>
      </c>
      <c r="P10" s="573">
        <f t="shared" si="1"/>
        <v>100</v>
      </c>
      <c r="Q10" s="99">
        <f>'Food-Data Entry'!R9</f>
        <v>145</v>
      </c>
      <c r="R10" s="100">
        <f>'Food-Data Entry'!S9</f>
        <v>200</v>
      </c>
      <c r="S10" s="103">
        <f t="shared" si="4"/>
        <v>345</v>
      </c>
      <c r="T10" s="99">
        <f>'Food-Data Entry'!X9</f>
        <v>52</v>
      </c>
      <c r="U10" s="100">
        <f>'Food-Data Entry'!Y9</f>
        <v>49</v>
      </c>
      <c r="V10" s="103">
        <f t="shared" si="5"/>
        <v>101</v>
      </c>
      <c r="W10" s="99">
        <f>'Food-Data Entry'!X9</f>
        <v>52</v>
      </c>
      <c r="X10" s="100">
        <f>'Food-Data Entry'!Y9</f>
        <v>49</v>
      </c>
      <c r="Y10" s="103">
        <f t="shared" si="6"/>
        <v>101</v>
      </c>
      <c r="Z10" s="51"/>
      <c r="AA10" s="763"/>
      <c r="AB10" s="36" t="e">
        <f>#REF!+#REF!+#REF!+#REF!</f>
        <v>#REF!</v>
      </c>
    </row>
    <row r="11" spans="1:29" s="37" customFormat="1" ht="17.25" customHeight="1">
      <c r="A11" s="776"/>
      <c r="B11" s="47">
        <f t="shared" si="7"/>
        <v>4</v>
      </c>
      <c r="C11" s="48">
        <f>'Food-Data Entry'!L10</f>
        <v>45965</v>
      </c>
      <c r="D11" s="49" t="str">
        <f>'Food-Data Entry'!O10</f>
        <v>Tuesday</v>
      </c>
      <c r="E11" s="569">
        <f t="shared" si="8"/>
        <v>483.9</v>
      </c>
      <c r="F11" s="570">
        <f t="shared" si="9"/>
        <v>100</v>
      </c>
      <c r="G11" s="569">
        <f>'Food-Data Entry'!$AD10</f>
        <v>0</v>
      </c>
      <c r="H11" s="570">
        <f>'Food-Data Entry'!$AF10</f>
        <v>0</v>
      </c>
      <c r="I11" s="569">
        <f>'Food-Data Entry'!AH10</f>
        <v>0</v>
      </c>
      <c r="J11" s="570">
        <f>'Food-Data Entry'!AJ10</f>
        <v>0</v>
      </c>
      <c r="K11" s="571">
        <f t="shared" si="2"/>
        <v>483.9</v>
      </c>
      <c r="L11" s="572">
        <f t="shared" si="3"/>
        <v>100</v>
      </c>
      <c r="M11" s="569">
        <f>'Food-Data Entry'!AW10</f>
        <v>0</v>
      </c>
      <c r="N11" s="570">
        <f>'Food-Data Entry'!AX10</f>
        <v>2.5</v>
      </c>
      <c r="O11" s="571">
        <f t="shared" si="0"/>
        <v>483.9</v>
      </c>
      <c r="P11" s="573">
        <f t="shared" si="1"/>
        <v>97.5</v>
      </c>
      <c r="Q11" s="99">
        <f>'Food-Data Entry'!R10</f>
        <v>145</v>
      </c>
      <c r="R11" s="100">
        <f>'Food-Data Entry'!S10</f>
        <v>200</v>
      </c>
      <c r="S11" s="103">
        <f t="shared" si="4"/>
        <v>345</v>
      </c>
      <c r="T11" s="99">
        <f>'Food-Data Entry'!X10</f>
        <v>10</v>
      </c>
      <c r="U11" s="100">
        <f>'Food-Data Entry'!Y10</f>
        <v>15</v>
      </c>
      <c r="V11" s="103">
        <f t="shared" si="5"/>
        <v>25</v>
      </c>
      <c r="W11" s="99">
        <f>'Food-Data Entry'!X10</f>
        <v>10</v>
      </c>
      <c r="X11" s="100">
        <f>'Food-Data Entry'!Y10</f>
        <v>15</v>
      </c>
      <c r="Y11" s="103">
        <f t="shared" si="6"/>
        <v>25</v>
      </c>
      <c r="Z11" s="51"/>
      <c r="AA11" s="763"/>
      <c r="AB11" s="36" t="e">
        <f>#REF!+#REF!+#REF!+#REF!</f>
        <v>#REF!</v>
      </c>
    </row>
    <row r="12" spans="1:29" s="37" customFormat="1" ht="17.25" customHeight="1">
      <c r="A12" s="776"/>
      <c r="B12" s="47">
        <f t="shared" si="7"/>
        <v>5</v>
      </c>
      <c r="C12" s="48">
        <f>'Food-Data Entry'!L11</f>
        <v>45966</v>
      </c>
      <c r="D12" s="49" t="str">
        <f>'Food-Data Entry'!O11</f>
        <v>Wednesday</v>
      </c>
      <c r="E12" s="569">
        <f t="shared" si="8"/>
        <v>483.9</v>
      </c>
      <c r="F12" s="570">
        <f t="shared" si="9"/>
        <v>97.5</v>
      </c>
      <c r="G12" s="569">
        <f>'Food-Data Entry'!$AD11</f>
        <v>0</v>
      </c>
      <c r="H12" s="570">
        <f>'Food-Data Entry'!$AF11</f>
        <v>0</v>
      </c>
      <c r="I12" s="569">
        <f>'Food-Data Entry'!AH11</f>
        <v>0</v>
      </c>
      <c r="J12" s="570">
        <f>'Food-Data Entry'!AJ11</f>
        <v>0</v>
      </c>
      <c r="K12" s="571">
        <f t="shared" si="2"/>
        <v>483.9</v>
      </c>
      <c r="L12" s="572">
        <f t="shared" si="3"/>
        <v>97.5</v>
      </c>
      <c r="M12" s="569">
        <f>'Food-Data Entry'!AW11</f>
        <v>2.5</v>
      </c>
      <c r="N12" s="570">
        <f>'Food-Data Entry'!AX11</f>
        <v>0</v>
      </c>
      <c r="O12" s="571">
        <f t="shared" si="0"/>
        <v>481.4</v>
      </c>
      <c r="P12" s="573">
        <f t="shared" si="1"/>
        <v>97.5</v>
      </c>
      <c r="Q12" s="99">
        <f>'Food-Data Entry'!R11</f>
        <v>145</v>
      </c>
      <c r="R12" s="100">
        <f>'Food-Data Entry'!S11</f>
        <v>200</v>
      </c>
      <c r="S12" s="103">
        <f t="shared" si="4"/>
        <v>345</v>
      </c>
      <c r="T12" s="99">
        <f>'Food-Data Entry'!X11</f>
        <v>10</v>
      </c>
      <c r="U12" s="100">
        <f>'Food-Data Entry'!Y11</f>
        <v>15</v>
      </c>
      <c r="V12" s="103">
        <f t="shared" si="5"/>
        <v>25</v>
      </c>
      <c r="W12" s="99">
        <f>'Food-Data Entry'!X11</f>
        <v>10</v>
      </c>
      <c r="X12" s="100">
        <f>'Food-Data Entry'!Y11</f>
        <v>15</v>
      </c>
      <c r="Y12" s="103">
        <f t="shared" si="6"/>
        <v>25</v>
      </c>
      <c r="Z12" s="51"/>
      <c r="AA12" s="763"/>
      <c r="AB12" s="36" t="e">
        <f>#REF!+#REF!+#REF!+#REF!</f>
        <v>#REF!</v>
      </c>
    </row>
    <row r="13" spans="1:29" s="37" customFormat="1" ht="17.25" customHeight="1">
      <c r="A13" s="776"/>
      <c r="B13" s="47">
        <f t="shared" si="7"/>
        <v>6</v>
      </c>
      <c r="C13" s="48">
        <f>'Food-Data Entry'!L12</f>
        <v>45967</v>
      </c>
      <c r="D13" s="49" t="str">
        <f>'Food-Data Entry'!O12</f>
        <v>Thursday</v>
      </c>
      <c r="E13" s="569">
        <f t="shared" si="8"/>
        <v>481.4</v>
      </c>
      <c r="F13" s="570">
        <f t="shared" si="9"/>
        <v>97.5</v>
      </c>
      <c r="G13" s="569">
        <f>'Food-Data Entry'!$AD12</f>
        <v>0</v>
      </c>
      <c r="H13" s="570">
        <f>'Food-Data Entry'!$AF12</f>
        <v>0</v>
      </c>
      <c r="I13" s="569">
        <f>'Food-Data Entry'!AH12</f>
        <v>0</v>
      </c>
      <c r="J13" s="570">
        <f>'Food-Data Entry'!AJ12</f>
        <v>0</v>
      </c>
      <c r="K13" s="571">
        <f t="shared" si="2"/>
        <v>481.4</v>
      </c>
      <c r="L13" s="572">
        <f t="shared" si="3"/>
        <v>97.5</v>
      </c>
      <c r="M13" s="569">
        <f>'Food-Data Entry'!AW12</f>
        <v>0</v>
      </c>
      <c r="N13" s="570">
        <f>'Food-Data Entry'!AX12</f>
        <v>2.5</v>
      </c>
      <c r="O13" s="571">
        <f t="shared" si="0"/>
        <v>481.4</v>
      </c>
      <c r="P13" s="573">
        <f t="shared" si="1"/>
        <v>95</v>
      </c>
      <c r="Q13" s="99">
        <f>'Food-Data Entry'!R12</f>
        <v>145</v>
      </c>
      <c r="R13" s="100">
        <f>'Food-Data Entry'!S12</f>
        <v>200</v>
      </c>
      <c r="S13" s="103">
        <f t="shared" si="4"/>
        <v>345</v>
      </c>
      <c r="T13" s="99">
        <f>'Food-Data Entry'!X12</f>
        <v>10</v>
      </c>
      <c r="U13" s="100">
        <f>'Food-Data Entry'!Y12</f>
        <v>15</v>
      </c>
      <c r="V13" s="103">
        <f t="shared" si="5"/>
        <v>25</v>
      </c>
      <c r="W13" s="99">
        <f>'Food-Data Entry'!X12</f>
        <v>10</v>
      </c>
      <c r="X13" s="100">
        <f>'Food-Data Entry'!Y12</f>
        <v>15</v>
      </c>
      <c r="Y13" s="103">
        <f t="shared" si="6"/>
        <v>25</v>
      </c>
      <c r="Z13" s="51"/>
      <c r="AA13" s="763"/>
      <c r="AB13" s="36" t="e">
        <f>#REF!+#REF!+#REF!+#REF!</f>
        <v>#REF!</v>
      </c>
    </row>
    <row r="14" spans="1:29" s="37" customFormat="1" ht="17.25" customHeight="1">
      <c r="A14" s="776"/>
      <c r="B14" s="47">
        <f t="shared" si="7"/>
        <v>7</v>
      </c>
      <c r="C14" s="48">
        <f>'Food-Data Entry'!L13</f>
        <v>45968</v>
      </c>
      <c r="D14" s="49" t="str">
        <f>'Food-Data Entry'!O13</f>
        <v>Friday</v>
      </c>
      <c r="E14" s="569">
        <f t="shared" si="8"/>
        <v>481.4</v>
      </c>
      <c r="F14" s="570">
        <f t="shared" si="9"/>
        <v>95</v>
      </c>
      <c r="G14" s="569">
        <f>'Food-Data Entry'!$AD13</f>
        <v>0</v>
      </c>
      <c r="H14" s="570">
        <f>'Food-Data Entry'!$AF13</f>
        <v>0</v>
      </c>
      <c r="I14" s="569">
        <f>'Food-Data Entry'!AH13</f>
        <v>0</v>
      </c>
      <c r="J14" s="570">
        <f>'Food-Data Entry'!AJ13</f>
        <v>0</v>
      </c>
      <c r="K14" s="571">
        <f t="shared" si="2"/>
        <v>481.4</v>
      </c>
      <c r="L14" s="572">
        <f t="shared" si="3"/>
        <v>95</v>
      </c>
      <c r="M14" s="569">
        <f>'Food-Data Entry'!AW13</f>
        <v>2.5</v>
      </c>
      <c r="N14" s="570">
        <f>'Food-Data Entry'!AX13</f>
        <v>0</v>
      </c>
      <c r="O14" s="571">
        <f t="shared" si="0"/>
        <v>478.9</v>
      </c>
      <c r="P14" s="573">
        <f t="shared" si="1"/>
        <v>95</v>
      </c>
      <c r="Q14" s="99">
        <f>'Food-Data Entry'!R13</f>
        <v>145</v>
      </c>
      <c r="R14" s="100">
        <f>'Food-Data Entry'!S13</f>
        <v>200</v>
      </c>
      <c r="S14" s="103">
        <f t="shared" si="4"/>
        <v>345</v>
      </c>
      <c r="T14" s="99">
        <f>'Food-Data Entry'!X13</f>
        <v>10</v>
      </c>
      <c r="U14" s="100">
        <f>'Food-Data Entry'!Y13</f>
        <v>15</v>
      </c>
      <c r="V14" s="103">
        <f t="shared" si="5"/>
        <v>25</v>
      </c>
      <c r="W14" s="99">
        <f>'Food-Data Entry'!X13</f>
        <v>10</v>
      </c>
      <c r="X14" s="100">
        <f>'Food-Data Entry'!Y13</f>
        <v>15</v>
      </c>
      <c r="Y14" s="103">
        <f t="shared" si="6"/>
        <v>25</v>
      </c>
      <c r="Z14" s="51"/>
      <c r="AA14" s="763"/>
      <c r="AB14" s="36" t="e">
        <f>#REF!+#REF!+#REF!+#REF!</f>
        <v>#REF!</v>
      </c>
    </row>
    <row r="15" spans="1:29" s="37" customFormat="1" ht="17.25" customHeight="1">
      <c r="A15" s="776"/>
      <c r="B15" s="47">
        <f t="shared" si="7"/>
        <v>8</v>
      </c>
      <c r="C15" s="48">
        <f>'Food-Data Entry'!L14</f>
        <v>45969</v>
      </c>
      <c r="D15" s="49" t="str">
        <f>'Food-Data Entry'!O14</f>
        <v>Saturday</v>
      </c>
      <c r="E15" s="569">
        <f t="shared" si="8"/>
        <v>478.9</v>
      </c>
      <c r="F15" s="570">
        <f t="shared" si="9"/>
        <v>95</v>
      </c>
      <c r="G15" s="569">
        <f>'Food-Data Entry'!$AD14</f>
        <v>0</v>
      </c>
      <c r="H15" s="570">
        <f>'Food-Data Entry'!$AF14</f>
        <v>0</v>
      </c>
      <c r="I15" s="569">
        <f>'Food-Data Entry'!AH14</f>
        <v>0</v>
      </c>
      <c r="J15" s="570">
        <f>'Food-Data Entry'!AJ14</f>
        <v>0</v>
      </c>
      <c r="K15" s="571">
        <f t="shared" si="2"/>
        <v>478.9</v>
      </c>
      <c r="L15" s="572">
        <f t="shared" si="3"/>
        <v>95</v>
      </c>
      <c r="M15" s="569">
        <f>'Food-Data Entry'!AW14</f>
        <v>2.5</v>
      </c>
      <c r="N15" s="570">
        <f>'Food-Data Entry'!AX14</f>
        <v>0</v>
      </c>
      <c r="O15" s="571">
        <f t="shared" si="0"/>
        <v>476.4</v>
      </c>
      <c r="P15" s="573">
        <f t="shared" si="1"/>
        <v>95</v>
      </c>
      <c r="Q15" s="99">
        <f>'Food-Data Entry'!R14</f>
        <v>145</v>
      </c>
      <c r="R15" s="100">
        <f>'Food-Data Entry'!S14</f>
        <v>200</v>
      </c>
      <c r="S15" s="103">
        <f t="shared" si="4"/>
        <v>345</v>
      </c>
      <c r="T15" s="99">
        <f>'Food-Data Entry'!X14</f>
        <v>10</v>
      </c>
      <c r="U15" s="100">
        <f>'Food-Data Entry'!Y14</f>
        <v>15</v>
      </c>
      <c r="V15" s="103">
        <f t="shared" si="5"/>
        <v>25</v>
      </c>
      <c r="W15" s="99">
        <f>'Food-Data Entry'!X14</f>
        <v>10</v>
      </c>
      <c r="X15" s="100">
        <f>'Food-Data Entry'!Y14</f>
        <v>15</v>
      </c>
      <c r="Y15" s="103">
        <f t="shared" si="6"/>
        <v>25</v>
      </c>
      <c r="Z15" s="51"/>
      <c r="AA15" s="763"/>
      <c r="AB15" s="36" t="e">
        <f>#REF!+#REF!+#REF!+#REF!</f>
        <v>#REF!</v>
      </c>
    </row>
    <row r="16" spans="1:29" s="37" customFormat="1" ht="17.25" customHeight="1">
      <c r="A16" s="776"/>
      <c r="B16" s="47">
        <f t="shared" si="7"/>
        <v>9</v>
      </c>
      <c r="C16" s="48">
        <f>'Food-Data Entry'!L15</f>
        <v>45970</v>
      </c>
      <c r="D16" s="49" t="str">
        <f>'Food-Data Entry'!O15</f>
        <v>Holiday</v>
      </c>
      <c r="E16" s="569">
        <f t="shared" si="8"/>
        <v>476.4</v>
      </c>
      <c r="F16" s="570">
        <f t="shared" si="9"/>
        <v>95</v>
      </c>
      <c r="G16" s="569">
        <f>'Food-Data Entry'!$AD15</f>
        <v>0</v>
      </c>
      <c r="H16" s="570">
        <f>'Food-Data Entry'!$AF15</f>
        <v>0</v>
      </c>
      <c r="I16" s="569">
        <f>'Food-Data Entry'!AH15</f>
        <v>0</v>
      </c>
      <c r="J16" s="570">
        <f>'Food-Data Entry'!AJ15</f>
        <v>0</v>
      </c>
      <c r="K16" s="571">
        <f t="shared" si="2"/>
        <v>476.4</v>
      </c>
      <c r="L16" s="572">
        <f t="shared" si="3"/>
        <v>95</v>
      </c>
      <c r="M16" s="569">
        <f>'Food-Data Entry'!AW15</f>
        <v>0</v>
      </c>
      <c r="N16" s="570">
        <f>'Food-Data Entry'!AX15</f>
        <v>0</v>
      </c>
      <c r="O16" s="571">
        <f t="shared" si="0"/>
        <v>476.4</v>
      </c>
      <c r="P16" s="573">
        <f t="shared" si="1"/>
        <v>95</v>
      </c>
      <c r="Q16" s="99">
        <f>'Food-Data Entry'!R15</f>
        <v>145</v>
      </c>
      <c r="R16" s="100">
        <f>'Food-Data Entry'!S15</f>
        <v>200</v>
      </c>
      <c r="S16" s="103">
        <f t="shared" si="4"/>
        <v>345</v>
      </c>
      <c r="T16" s="99">
        <f>'Food-Data Entry'!X15</f>
        <v>0</v>
      </c>
      <c r="U16" s="100">
        <f>'Food-Data Entry'!Y15</f>
        <v>0</v>
      </c>
      <c r="V16" s="103">
        <f t="shared" si="5"/>
        <v>0</v>
      </c>
      <c r="W16" s="99">
        <f>'Food-Data Entry'!X15</f>
        <v>0</v>
      </c>
      <c r="X16" s="100">
        <f>'Food-Data Entry'!Y15</f>
        <v>0</v>
      </c>
      <c r="Y16" s="103">
        <f t="shared" si="6"/>
        <v>0</v>
      </c>
      <c r="Z16" s="51"/>
      <c r="AA16" s="763"/>
      <c r="AB16" s="36" t="e">
        <f>#REF!+#REF!+#REF!+#REF!</f>
        <v>#REF!</v>
      </c>
    </row>
    <row r="17" spans="1:28" s="37" customFormat="1" ht="17.25" customHeight="1">
      <c r="A17" s="776"/>
      <c r="B17" s="47">
        <f t="shared" si="7"/>
        <v>10</v>
      </c>
      <c r="C17" s="48">
        <f>'Food-Data Entry'!L16</f>
        <v>45971</v>
      </c>
      <c r="D17" s="49" t="str">
        <f>'Food-Data Entry'!O16</f>
        <v>Monday</v>
      </c>
      <c r="E17" s="569">
        <f t="shared" si="8"/>
        <v>476.4</v>
      </c>
      <c r="F17" s="570">
        <f t="shared" si="9"/>
        <v>95</v>
      </c>
      <c r="G17" s="569">
        <f>'Food-Data Entry'!$AD16</f>
        <v>0</v>
      </c>
      <c r="H17" s="570">
        <f>'Food-Data Entry'!$AF16</f>
        <v>0</v>
      </c>
      <c r="I17" s="569">
        <f>'Food-Data Entry'!AH16</f>
        <v>0</v>
      </c>
      <c r="J17" s="570">
        <f>'Food-Data Entry'!AJ16</f>
        <v>0</v>
      </c>
      <c r="K17" s="571">
        <f t="shared" si="2"/>
        <v>476.4</v>
      </c>
      <c r="L17" s="572">
        <f t="shared" si="3"/>
        <v>95</v>
      </c>
      <c r="M17" s="569">
        <f>'Food-Data Entry'!AW16</f>
        <v>2.5</v>
      </c>
      <c r="N17" s="570">
        <f>'Food-Data Entry'!AX16</f>
        <v>0</v>
      </c>
      <c r="O17" s="571">
        <f t="shared" si="0"/>
        <v>473.9</v>
      </c>
      <c r="P17" s="573">
        <f t="shared" si="1"/>
        <v>95</v>
      </c>
      <c r="Q17" s="99">
        <f>'Food-Data Entry'!R16</f>
        <v>145</v>
      </c>
      <c r="R17" s="100">
        <f>'Food-Data Entry'!S16</f>
        <v>200</v>
      </c>
      <c r="S17" s="103">
        <f t="shared" si="4"/>
        <v>345</v>
      </c>
      <c r="T17" s="99">
        <f>'Food-Data Entry'!X16</f>
        <v>10</v>
      </c>
      <c r="U17" s="100">
        <f>'Food-Data Entry'!Y16</f>
        <v>15</v>
      </c>
      <c r="V17" s="103">
        <f t="shared" si="5"/>
        <v>25</v>
      </c>
      <c r="W17" s="99">
        <f>'Food-Data Entry'!X16</f>
        <v>10</v>
      </c>
      <c r="X17" s="100">
        <f>'Food-Data Entry'!Y16</f>
        <v>15</v>
      </c>
      <c r="Y17" s="103">
        <f t="shared" si="6"/>
        <v>25</v>
      </c>
      <c r="Z17" s="51"/>
      <c r="AA17" s="763"/>
      <c r="AB17" s="36" t="e">
        <f>#REF!+#REF!+#REF!+#REF!</f>
        <v>#REF!</v>
      </c>
    </row>
    <row r="18" spans="1:28" s="37" customFormat="1" ht="17.25" customHeight="1">
      <c r="A18" s="776"/>
      <c r="B18" s="47">
        <f t="shared" si="7"/>
        <v>11</v>
      </c>
      <c r="C18" s="48">
        <f>'Food-Data Entry'!L17</f>
        <v>45972</v>
      </c>
      <c r="D18" s="49" t="str">
        <f>'Food-Data Entry'!O17</f>
        <v>Tuesday</v>
      </c>
      <c r="E18" s="569">
        <f t="shared" si="8"/>
        <v>473.9</v>
      </c>
      <c r="F18" s="570">
        <f t="shared" si="9"/>
        <v>95</v>
      </c>
      <c r="G18" s="569">
        <f>'Food-Data Entry'!$AD17</f>
        <v>0</v>
      </c>
      <c r="H18" s="570">
        <f>'Food-Data Entry'!$AF17</f>
        <v>0</v>
      </c>
      <c r="I18" s="569">
        <f>'Food-Data Entry'!AH17</f>
        <v>0</v>
      </c>
      <c r="J18" s="570">
        <f>'Food-Data Entry'!AJ17</f>
        <v>0</v>
      </c>
      <c r="K18" s="571">
        <f t="shared" si="2"/>
        <v>473.9</v>
      </c>
      <c r="L18" s="572">
        <f t="shared" si="3"/>
        <v>95</v>
      </c>
      <c r="M18" s="569">
        <f>'Food-Data Entry'!AW17</f>
        <v>0</v>
      </c>
      <c r="N18" s="570">
        <f>'Food-Data Entry'!AX17</f>
        <v>2.5</v>
      </c>
      <c r="O18" s="571">
        <f t="shared" si="0"/>
        <v>473.9</v>
      </c>
      <c r="P18" s="573">
        <f t="shared" si="1"/>
        <v>92.5</v>
      </c>
      <c r="Q18" s="99">
        <f>'Food-Data Entry'!R17</f>
        <v>145</v>
      </c>
      <c r="R18" s="100">
        <f>'Food-Data Entry'!S17</f>
        <v>200</v>
      </c>
      <c r="S18" s="103">
        <f t="shared" si="4"/>
        <v>345</v>
      </c>
      <c r="T18" s="99">
        <f>'Food-Data Entry'!X17</f>
        <v>10</v>
      </c>
      <c r="U18" s="100">
        <f>'Food-Data Entry'!Y17</f>
        <v>15</v>
      </c>
      <c r="V18" s="103">
        <f t="shared" si="5"/>
        <v>25</v>
      </c>
      <c r="W18" s="99">
        <f>'Food-Data Entry'!X17</f>
        <v>10</v>
      </c>
      <c r="X18" s="100">
        <f>'Food-Data Entry'!Y17</f>
        <v>15</v>
      </c>
      <c r="Y18" s="103">
        <f t="shared" si="6"/>
        <v>25</v>
      </c>
      <c r="Z18" s="51"/>
      <c r="AA18" s="763"/>
      <c r="AB18" s="36" t="e">
        <f>#REF!+#REF!+#REF!+#REF!</f>
        <v>#REF!</v>
      </c>
    </row>
    <row r="19" spans="1:28" s="37" customFormat="1" ht="17.25" customHeight="1">
      <c r="A19" s="776"/>
      <c r="B19" s="47">
        <f t="shared" si="7"/>
        <v>12</v>
      </c>
      <c r="C19" s="48">
        <f>'Food-Data Entry'!L18</f>
        <v>45973</v>
      </c>
      <c r="D19" s="49" t="str">
        <f>'Food-Data Entry'!O18</f>
        <v>Wednesday</v>
      </c>
      <c r="E19" s="569">
        <f t="shared" si="8"/>
        <v>473.9</v>
      </c>
      <c r="F19" s="570">
        <f t="shared" si="9"/>
        <v>92.5</v>
      </c>
      <c r="G19" s="569">
        <f>'Food-Data Entry'!$AD18</f>
        <v>0</v>
      </c>
      <c r="H19" s="570">
        <f>'Food-Data Entry'!$AF18</f>
        <v>0</v>
      </c>
      <c r="I19" s="569">
        <f>'Food-Data Entry'!AH18</f>
        <v>0</v>
      </c>
      <c r="J19" s="570">
        <f>'Food-Data Entry'!AJ18</f>
        <v>0</v>
      </c>
      <c r="K19" s="571">
        <f t="shared" si="2"/>
        <v>473.9</v>
      </c>
      <c r="L19" s="572">
        <f t="shared" si="3"/>
        <v>92.5</v>
      </c>
      <c r="M19" s="569">
        <f>'Food-Data Entry'!AW18</f>
        <v>2.5</v>
      </c>
      <c r="N19" s="570">
        <f>'Food-Data Entry'!AX18</f>
        <v>0</v>
      </c>
      <c r="O19" s="571">
        <f t="shared" si="0"/>
        <v>471.4</v>
      </c>
      <c r="P19" s="573">
        <f t="shared" si="1"/>
        <v>92.5</v>
      </c>
      <c r="Q19" s="99">
        <f>'Food-Data Entry'!R18</f>
        <v>145</v>
      </c>
      <c r="R19" s="100">
        <f>'Food-Data Entry'!S18</f>
        <v>200</v>
      </c>
      <c r="S19" s="103">
        <f t="shared" si="4"/>
        <v>345</v>
      </c>
      <c r="T19" s="99">
        <f>'Food-Data Entry'!X18</f>
        <v>10</v>
      </c>
      <c r="U19" s="100">
        <f>'Food-Data Entry'!Y18</f>
        <v>15</v>
      </c>
      <c r="V19" s="103">
        <f t="shared" si="5"/>
        <v>25</v>
      </c>
      <c r="W19" s="99">
        <f>'Food-Data Entry'!X18</f>
        <v>10</v>
      </c>
      <c r="X19" s="100">
        <f>'Food-Data Entry'!Y18</f>
        <v>15</v>
      </c>
      <c r="Y19" s="103">
        <f t="shared" si="6"/>
        <v>25</v>
      </c>
      <c r="Z19" s="51"/>
      <c r="AA19" s="763"/>
      <c r="AB19" s="36" t="e">
        <f>#REF!+#REF!+#REF!+#REF!</f>
        <v>#REF!</v>
      </c>
    </row>
    <row r="20" spans="1:28" s="37" customFormat="1" ht="17.25" customHeight="1">
      <c r="A20" s="776"/>
      <c r="B20" s="47">
        <f t="shared" si="7"/>
        <v>13</v>
      </c>
      <c r="C20" s="48">
        <f>'Food-Data Entry'!L19</f>
        <v>45974</v>
      </c>
      <c r="D20" s="49" t="str">
        <f>'Food-Data Entry'!O19</f>
        <v>Thursday</v>
      </c>
      <c r="E20" s="569">
        <f t="shared" si="8"/>
        <v>471.4</v>
      </c>
      <c r="F20" s="570">
        <f t="shared" si="9"/>
        <v>92.5</v>
      </c>
      <c r="G20" s="569">
        <f>'Food-Data Entry'!$AD19</f>
        <v>0</v>
      </c>
      <c r="H20" s="570">
        <f>'Food-Data Entry'!$AF19</f>
        <v>0</v>
      </c>
      <c r="I20" s="569">
        <f>'Food-Data Entry'!AH19</f>
        <v>0</v>
      </c>
      <c r="J20" s="570">
        <f>'Food-Data Entry'!AJ19</f>
        <v>0</v>
      </c>
      <c r="K20" s="571">
        <f t="shared" si="2"/>
        <v>471.4</v>
      </c>
      <c r="L20" s="572">
        <f t="shared" si="3"/>
        <v>92.5</v>
      </c>
      <c r="M20" s="569">
        <f>'Food-Data Entry'!AW19</f>
        <v>0</v>
      </c>
      <c r="N20" s="570">
        <f>'Food-Data Entry'!AX19</f>
        <v>2.5</v>
      </c>
      <c r="O20" s="571">
        <f t="shared" si="0"/>
        <v>471.4</v>
      </c>
      <c r="P20" s="573">
        <f t="shared" si="1"/>
        <v>90</v>
      </c>
      <c r="Q20" s="99">
        <f>'Food-Data Entry'!R19</f>
        <v>145</v>
      </c>
      <c r="R20" s="100">
        <f>'Food-Data Entry'!S19</f>
        <v>200</v>
      </c>
      <c r="S20" s="103">
        <f t="shared" si="4"/>
        <v>345</v>
      </c>
      <c r="T20" s="99">
        <f>'Food-Data Entry'!X19</f>
        <v>10</v>
      </c>
      <c r="U20" s="100">
        <f>'Food-Data Entry'!Y19</f>
        <v>15</v>
      </c>
      <c r="V20" s="103">
        <f t="shared" si="5"/>
        <v>25</v>
      </c>
      <c r="W20" s="99">
        <f>'Food-Data Entry'!X19</f>
        <v>10</v>
      </c>
      <c r="X20" s="100">
        <f>'Food-Data Entry'!Y19</f>
        <v>15</v>
      </c>
      <c r="Y20" s="103">
        <f t="shared" si="6"/>
        <v>25</v>
      </c>
      <c r="Z20" s="51"/>
      <c r="AA20" s="763"/>
      <c r="AB20" s="36" t="e">
        <f>#REF!+#REF!+#REF!+#REF!</f>
        <v>#REF!</v>
      </c>
    </row>
    <row r="21" spans="1:28" s="37" customFormat="1" ht="17.25" customHeight="1">
      <c r="A21" s="776"/>
      <c r="B21" s="47">
        <f t="shared" si="7"/>
        <v>14</v>
      </c>
      <c r="C21" s="48">
        <f>'Food-Data Entry'!L20</f>
        <v>45975</v>
      </c>
      <c r="D21" s="49" t="str">
        <f>'Food-Data Entry'!O20</f>
        <v>Friday</v>
      </c>
      <c r="E21" s="569">
        <f t="shared" si="8"/>
        <v>471.4</v>
      </c>
      <c r="F21" s="570">
        <f t="shared" si="9"/>
        <v>90</v>
      </c>
      <c r="G21" s="569">
        <f>'Food-Data Entry'!$AD20</f>
        <v>0</v>
      </c>
      <c r="H21" s="570">
        <f>'Food-Data Entry'!$AF20</f>
        <v>0</v>
      </c>
      <c r="I21" s="569">
        <f>'Food-Data Entry'!AH20</f>
        <v>0</v>
      </c>
      <c r="J21" s="570">
        <f>'Food-Data Entry'!AJ20</f>
        <v>0</v>
      </c>
      <c r="K21" s="571">
        <f t="shared" si="2"/>
        <v>471.4</v>
      </c>
      <c r="L21" s="572">
        <f t="shared" si="3"/>
        <v>90</v>
      </c>
      <c r="M21" s="569">
        <f>'Food-Data Entry'!AW20</f>
        <v>2.5</v>
      </c>
      <c r="N21" s="570">
        <f>'Food-Data Entry'!AX20</f>
        <v>0</v>
      </c>
      <c r="O21" s="571">
        <f t="shared" si="0"/>
        <v>468.9</v>
      </c>
      <c r="P21" s="573">
        <f t="shared" si="1"/>
        <v>90</v>
      </c>
      <c r="Q21" s="99">
        <f>'Food-Data Entry'!R20</f>
        <v>145</v>
      </c>
      <c r="R21" s="100">
        <f>'Food-Data Entry'!S20</f>
        <v>200</v>
      </c>
      <c r="S21" s="103">
        <f t="shared" si="4"/>
        <v>345</v>
      </c>
      <c r="T21" s="99">
        <f>'Food-Data Entry'!X20</f>
        <v>10</v>
      </c>
      <c r="U21" s="100">
        <f>'Food-Data Entry'!Y20</f>
        <v>15</v>
      </c>
      <c r="V21" s="103">
        <f t="shared" si="5"/>
        <v>25</v>
      </c>
      <c r="W21" s="99">
        <f>'Food-Data Entry'!X20</f>
        <v>10</v>
      </c>
      <c r="X21" s="100">
        <f>'Food-Data Entry'!Y20</f>
        <v>15</v>
      </c>
      <c r="Y21" s="103">
        <f t="shared" si="6"/>
        <v>25</v>
      </c>
      <c r="Z21" s="51"/>
      <c r="AA21" s="763"/>
      <c r="AB21" s="36" t="e">
        <f>#REF!+#REF!+#REF!+#REF!</f>
        <v>#REF!</v>
      </c>
    </row>
    <row r="22" spans="1:28" s="37" customFormat="1" ht="17.25" customHeight="1">
      <c r="A22" s="776"/>
      <c r="B22" s="47">
        <f t="shared" si="7"/>
        <v>15</v>
      </c>
      <c r="C22" s="48">
        <f>'Food-Data Entry'!L21</f>
        <v>45976</v>
      </c>
      <c r="D22" s="49" t="str">
        <f>'Food-Data Entry'!O21</f>
        <v>Saturday</v>
      </c>
      <c r="E22" s="569">
        <f t="shared" si="8"/>
        <v>468.9</v>
      </c>
      <c r="F22" s="570">
        <f t="shared" si="9"/>
        <v>90</v>
      </c>
      <c r="G22" s="569">
        <f>'Food-Data Entry'!$AD21</f>
        <v>0</v>
      </c>
      <c r="H22" s="570">
        <f>'Food-Data Entry'!$AF21</f>
        <v>0</v>
      </c>
      <c r="I22" s="569">
        <f>'Food-Data Entry'!AH21</f>
        <v>0</v>
      </c>
      <c r="J22" s="570">
        <f>'Food-Data Entry'!AJ21</f>
        <v>0</v>
      </c>
      <c r="K22" s="571">
        <f t="shared" si="2"/>
        <v>468.9</v>
      </c>
      <c r="L22" s="572">
        <f t="shared" si="3"/>
        <v>90</v>
      </c>
      <c r="M22" s="569">
        <f>'Food-Data Entry'!AW21</f>
        <v>2.5</v>
      </c>
      <c r="N22" s="570">
        <f>'Food-Data Entry'!AX21</f>
        <v>0</v>
      </c>
      <c r="O22" s="571">
        <f t="shared" si="0"/>
        <v>466.4</v>
      </c>
      <c r="P22" s="573">
        <f t="shared" si="1"/>
        <v>90</v>
      </c>
      <c r="Q22" s="99">
        <f>'Food-Data Entry'!R21</f>
        <v>145</v>
      </c>
      <c r="R22" s="100">
        <f>'Food-Data Entry'!S21</f>
        <v>200</v>
      </c>
      <c r="S22" s="103">
        <f t="shared" si="4"/>
        <v>345</v>
      </c>
      <c r="T22" s="99">
        <f>'Food-Data Entry'!X21</f>
        <v>10</v>
      </c>
      <c r="U22" s="100">
        <f>'Food-Data Entry'!Y21</f>
        <v>15</v>
      </c>
      <c r="V22" s="103">
        <f t="shared" si="5"/>
        <v>25</v>
      </c>
      <c r="W22" s="99">
        <f>'Food-Data Entry'!X21</f>
        <v>10</v>
      </c>
      <c r="X22" s="100">
        <f>'Food-Data Entry'!Y21</f>
        <v>15</v>
      </c>
      <c r="Y22" s="103">
        <f t="shared" si="6"/>
        <v>25</v>
      </c>
      <c r="Z22" s="51"/>
      <c r="AA22" s="763"/>
      <c r="AB22" s="36" t="e">
        <f>#REF!+#REF!+#REF!+#REF!</f>
        <v>#REF!</v>
      </c>
    </row>
    <row r="23" spans="1:28" s="37" customFormat="1" ht="17.25" customHeight="1">
      <c r="A23" s="776"/>
      <c r="B23" s="47">
        <f t="shared" si="7"/>
        <v>16</v>
      </c>
      <c r="C23" s="48">
        <f>'Food-Data Entry'!L22</f>
        <v>45977</v>
      </c>
      <c r="D23" s="49" t="str">
        <f>'Food-Data Entry'!O22</f>
        <v>Holiday</v>
      </c>
      <c r="E23" s="569">
        <f t="shared" si="8"/>
        <v>466.4</v>
      </c>
      <c r="F23" s="570">
        <f t="shared" si="9"/>
        <v>90</v>
      </c>
      <c r="G23" s="569">
        <f>'Food-Data Entry'!$AD22</f>
        <v>0</v>
      </c>
      <c r="H23" s="570">
        <f>'Food-Data Entry'!$AF22</f>
        <v>0</v>
      </c>
      <c r="I23" s="569">
        <f>'Food-Data Entry'!AH22</f>
        <v>0</v>
      </c>
      <c r="J23" s="570">
        <f>'Food-Data Entry'!AJ22</f>
        <v>0</v>
      </c>
      <c r="K23" s="571">
        <f t="shared" si="2"/>
        <v>466.4</v>
      </c>
      <c r="L23" s="572">
        <f t="shared" si="3"/>
        <v>90</v>
      </c>
      <c r="M23" s="569">
        <f>'Food-Data Entry'!AW22</f>
        <v>0</v>
      </c>
      <c r="N23" s="570">
        <f>'Food-Data Entry'!AX22</f>
        <v>0</v>
      </c>
      <c r="O23" s="571">
        <f t="shared" si="0"/>
        <v>466.4</v>
      </c>
      <c r="P23" s="573">
        <f t="shared" si="1"/>
        <v>90</v>
      </c>
      <c r="Q23" s="99">
        <f>'Food-Data Entry'!R22</f>
        <v>145</v>
      </c>
      <c r="R23" s="100">
        <f>'Food-Data Entry'!S22</f>
        <v>200</v>
      </c>
      <c r="S23" s="103">
        <f t="shared" si="4"/>
        <v>345</v>
      </c>
      <c r="T23" s="99">
        <f>'Food-Data Entry'!X22</f>
        <v>0</v>
      </c>
      <c r="U23" s="100">
        <f>'Food-Data Entry'!Y22</f>
        <v>0</v>
      </c>
      <c r="V23" s="103">
        <f t="shared" si="5"/>
        <v>0</v>
      </c>
      <c r="W23" s="99">
        <f>'Food-Data Entry'!X22</f>
        <v>0</v>
      </c>
      <c r="X23" s="100">
        <f>'Food-Data Entry'!Y22</f>
        <v>0</v>
      </c>
      <c r="Y23" s="103">
        <f t="shared" si="6"/>
        <v>0</v>
      </c>
      <c r="Z23" s="51"/>
      <c r="AA23" s="763"/>
      <c r="AB23" s="36" t="e">
        <f>#REF!+#REF!+#REF!+#REF!</f>
        <v>#REF!</v>
      </c>
    </row>
    <row r="24" spans="1:28" s="37" customFormat="1" ht="17.25" customHeight="1">
      <c r="A24" s="776"/>
      <c r="B24" s="47">
        <f t="shared" si="7"/>
        <v>17</v>
      </c>
      <c r="C24" s="48">
        <f>'Food-Data Entry'!L23</f>
        <v>45978</v>
      </c>
      <c r="D24" s="49" t="str">
        <f>'Food-Data Entry'!O23</f>
        <v>Monday</v>
      </c>
      <c r="E24" s="569">
        <f t="shared" si="8"/>
        <v>466.4</v>
      </c>
      <c r="F24" s="570">
        <f t="shared" si="9"/>
        <v>90</v>
      </c>
      <c r="G24" s="569">
        <f>'Food-Data Entry'!$AD23</f>
        <v>0</v>
      </c>
      <c r="H24" s="570">
        <f>'Food-Data Entry'!$AF23</f>
        <v>0</v>
      </c>
      <c r="I24" s="569">
        <f>'Food-Data Entry'!AH23</f>
        <v>0</v>
      </c>
      <c r="J24" s="570">
        <f>'Food-Data Entry'!AJ23</f>
        <v>0</v>
      </c>
      <c r="K24" s="571">
        <f t="shared" si="2"/>
        <v>466.4</v>
      </c>
      <c r="L24" s="572">
        <f t="shared" si="3"/>
        <v>90</v>
      </c>
      <c r="M24" s="569">
        <f>'Food-Data Entry'!AW23</f>
        <v>2.5</v>
      </c>
      <c r="N24" s="570">
        <f>'Food-Data Entry'!AX23</f>
        <v>0</v>
      </c>
      <c r="O24" s="571">
        <f t="shared" si="0"/>
        <v>463.9</v>
      </c>
      <c r="P24" s="573">
        <f t="shared" si="1"/>
        <v>90</v>
      </c>
      <c r="Q24" s="99">
        <f>'Food-Data Entry'!R23</f>
        <v>145</v>
      </c>
      <c r="R24" s="100">
        <f>'Food-Data Entry'!S23</f>
        <v>200</v>
      </c>
      <c r="S24" s="103">
        <f t="shared" si="4"/>
        <v>345</v>
      </c>
      <c r="T24" s="99">
        <f>'Food-Data Entry'!X23</f>
        <v>10</v>
      </c>
      <c r="U24" s="100">
        <f>'Food-Data Entry'!Y23</f>
        <v>15</v>
      </c>
      <c r="V24" s="103">
        <f t="shared" si="5"/>
        <v>25</v>
      </c>
      <c r="W24" s="99">
        <f>'Food-Data Entry'!X23</f>
        <v>10</v>
      </c>
      <c r="X24" s="100">
        <f>'Food-Data Entry'!Y23</f>
        <v>15</v>
      </c>
      <c r="Y24" s="103">
        <f t="shared" si="6"/>
        <v>25</v>
      </c>
      <c r="Z24" s="51"/>
      <c r="AA24" s="763"/>
      <c r="AB24" s="36" t="e">
        <f>#REF!+#REF!+#REF!+#REF!</f>
        <v>#REF!</v>
      </c>
    </row>
    <row r="25" spans="1:28" s="37" customFormat="1" ht="17.25" customHeight="1">
      <c r="A25" s="776"/>
      <c r="B25" s="47">
        <f t="shared" si="7"/>
        <v>18</v>
      </c>
      <c r="C25" s="48">
        <f>'Food-Data Entry'!L24</f>
        <v>45979</v>
      </c>
      <c r="D25" s="49" t="str">
        <f>'Food-Data Entry'!O24</f>
        <v>Tuesday</v>
      </c>
      <c r="E25" s="569">
        <f t="shared" si="8"/>
        <v>463.9</v>
      </c>
      <c r="F25" s="570">
        <f t="shared" si="9"/>
        <v>90</v>
      </c>
      <c r="G25" s="569">
        <f>'Food-Data Entry'!$AD24</f>
        <v>0</v>
      </c>
      <c r="H25" s="570">
        <f>'Food-Data Entry'!$AF24</f>
        <v>0</v>
      </c>
      <c r="I25" s="569">
        <f>'Food-Data Entry'!AH24</f>
        <v>0</v>
      </c>
      <c r="J25" s="570">
        <f>'Food-Data Entry'!AJ24</f>
        <v>0</v>
      </c>
      <c r="K25" s="571">
        <f t="shared" si="2"/>
        <v>463.9</v>
      </c>
      <c r="L25" s="572">
        <f t="shared" si="3"/>
        <v>90</v>
      </c>
      <c r="M25" s="569">
        <f>'Food-Data Entry'!AW24</f>
        <v>0</v>
      </c>
      <c r="N25" s="570">
        <f>'Food-Data Entry'!AX24</f>
        <v>2.5</v>
      </c>
      <c r="O25" s="571">
        <f t="shared" si="0"/>
        <v>463.9</v>
      </c>
      <c r="P25" s="573">
        <f t="shared" si="1"/>
        <v>87.5</v>
      </c>
      <c r="Q25" s="99">
        <f>'Food-Data Entry'!R24</f>
        <v>145</v>
      </c>
      <c r="R25" s="100">
        <f>'Food-Data Entry'!S24</f>
        <v>200</v>
      </c>
      <c r="S25" s="103">
        <f t="shared" si="4"/>
        <v>345</v>
      </c>
      <c r="T25" s="99">
        <f>'Food-Data Entry'!X24</f>
        <v>10</v>
      </c>
      <c r="U25" s="100">
        <f>'Food-Data Entry'!Y24</f>
        <v>15</v>
      </c>
      <c r="V25" s="103">
        <f t="shared" si="5"/>
        <v>25</v>
      </c>
      <c r="W25" s="99">
        <f>'Food-Data Entry'!X24</f>
        <v>10</v>
      </c>
      <c r="X25" s="100">
        <f>'Food-Data Entry'!Y24</f>
        <v>15</v>
      </c>
      <c r="Y25" s="103">
        <f t="shared" si="6"/>
        <v>25</v>
      </c>
      <c r="Z25" s="51"/>
      <c r="AA25" s="763"/>
      <c r="AB25" s="36" t="e">
        <f>#REF!+#REF!+#REF!+#REF!</f>
        <v>#REF!</v>
      </c>
    </row>
    <row r="26" spans="1:28" s="37" customFormat="1" ht="17.25" customHeight="1">
      <c r="A26" s="776"/>
      <c r="B26" s="47">
        <f t="shared" si="7"/>
        <v>19</v>
      </c>
      <c r="C26" s="48">
        <f>'Food-Data Entry'!L25</f>
        <v>45980</v>
      </c>
      <c r="D26" s="49" t="str">
        <f>'Food-Data Entry'!O25</f>
        <v>Wednesday</v>
      </c>
      <c r="E26" s="569">
        <f t="shared" si="8"/>
        <v>463.9</v>
      </c>
      <c r="F26" s="570">
        <f t="shared" si="9"/>
        <v>87.5</v>
      </c>
      <c r="G26" s="569">
        <f>'Food-Data Entry'!$AD25</f>
        <v>0</v>
      </c>
      <c r="H26" s="570">
        <f>'Food-Data Entry'!$AF25</f>
        <v>0</v>
      </c>
      <c r="I26" s="569">
        <f>'Food-Data Entry'!AH25</f>
        <v>0</v>
      </c>
      <c r="J26" s="570">
        <f>'Food-Data Entry'!AJ25</f>
        <v>0</v>
      </c>
      <c r="K26" s="571">
        <f t="shared" si="2"/>
        <v>463.9</v>
      </c>
      <c r="L26" s="572">
        <f t="shared" si="3"/>
        <v>87.5</v>
      </c>
      <c r="M26" s="569">
        <f>'Food-Data Entry'!AW25</f>
        <v>2.5</v>
      </c>
      <c r="N26" s="570">
        <f>'Food-Data Entry'!AX25</f>
        <v>0</v>
      </c>
      <c r="O26" s="571">
        <f t="shared" si="0"/>
        <v>461.4</v>
      </c>
      <c r="P26" s="573">
        <f t="shared" si="1"/>
        <v>87.5</v>
      </c>
      <c r="Q26" s="99">
        <f>'Food-Data Entry'!R25</f>
        <v>145</v>
      </c>
      <c r="R26" s="100">
        <f>'Food-Data Entry'!S25</f>
        <v>200</v>
      </c>
      <c r="S26" s="103">
        <f t="shared" si="4"/>
        <v>345</v>
      </c>
      <c r="T26" s="99">
        <f>'Food-Data Entry'!X25</f>
        <v>10</v>
      </c>
      <c r="U26" s="100">
        <f>'Food-Data Entry'!Y25</f>
        <v>15</v>
      </c>
      <c r="V26" s="103">
        <f t="shared" si="5"/>
        <v>25</v>
      </c>
      <c r="W26" s="99">
        <f>'Food-Data Entry'!X25</f>
        <v>10</v>
      </c>
      <c r="X26" s="100">
        <f>'Food-Data Entry'!Y25</f>
        <v>15</v>
      </c>
      <c r="Y26" s="103">
        <f t="shared" si="6"/>
        <v>25</v>
      </c>
      <c r="Z26" s="51"/>
      <c r="AA26" s="763"/>
      <c r="AB26" s="36" t="e">
        <f>#REF!+#REF!+#REF!+#REF!</f>
        <v>#REF!</v>
      </c>
    </row>
    <row r="27" spans="1:28" s="37" customFormat="1" ht="17.25" customHeight="1">
      <c r="A27" s="776"/>
      <c r="B27" s="47">
        <f t="shared" si="7"/>
        <v>20</v>
      </c>
      <c r="C27" s="48">
        <f>'Food-Data Entry'!L26</f>
        <v>45981</v>
      </c>
      <c r="D27" s="49" t="str">
        <f>'Food-Data Entry'!O26</f>
        <v>Thursday</v>
      </c>
      <c r="E27" s="569">
        <f t="shared" ref="E27:E38" si="10">O26</f>
        <v>461.4</v>
      </c>
      <c r="F27" s="570">
        <f t="shared" ref="F27:F38" si="11">P26</f>
        <v>87.5</v>
      </c>
      <c r="G27" s="569">
        <f>'Food-Data Entry'!$AD26</f>
        <v>0</v>
      </c>
      <c r="H27" s="570">
        <f>'Food-Data Entry'!$AF26</f>
        <v>0</v>
      </c>
      <c r="I27" s="569">
        <f>'Food-Data Entry'!AH26</f>
        <v>0</v>
      </c>
      <c r="J27" s="570">
        <f>'Food-Data Entry'!AJ26</f>
        <v>0</v>
      </c>
      <c r="K27" s="571">
        <f t="shared" si="2"/>
        <v>461.4</v>
      </c>
      <c r="L27" s="572">
        <f t="shared" si="3"/>
        <v>87.5</v>
      </c>
      <c r="M27" s="569">
        <f>'Food-Data Entry'!AW26</f>
        <v>0</v>
      </c>
      <c r="N27" s="570">
        <f>'Food-Data Entry'!AX26</f>
        <v>2.5</v>
      </c>
      <c r="O27" s="571">
        <f t="shared" si="0"/>
        <v>461.4</v>
      </c>
      <c r="P27" s="573">
        <f t="shared" si="1"/>
        <v>85</v>
      </c>
      <c r="Q27" s="99">
        <f>'Food-Data Entry'!R26</f>
        <v>145</v>
      </c>
      <c r="R27" s="100">
        <f>'Food-Data Entry'!S26</f>
        <v>200</v>
      </c>
      <c r="S27" s="103">
        <f t="shared" si="4"/>
        <v>345</v>
      </c>
      <c r="T27" s="99">
        <f>'Food-Data Entry'!X26</f>
        <v>10</v>
      </c>
      <c r="U27" s="100">
        <f>'Food-Data Entry'!Y26</f>
        <v>15</v>
      </c>
      <c r="V27" s="103">
        <f t="shared" si="5"/>
        <v>25</v>
      </c>
      <c r="W27" s="99">
        <f>'Food-Data Entry'!X26</f>
        <v>10</v>
      </c>
      <c r="X27" s="100">
        <f>'Food-Data Entry'!Y26</f>
        <v>15</v>
      </c>
      <c r="Y27" s="103">
        <f t="shared" si="6"/>
        <v>25</v>
      </c>
      <c r="Z27" s="51"/>
      <c r="AA27" s="763"/>
      <c r="AB27" s="36" t="e">
        <f>#REF!+#REF!+#REF!+#REF!</f>
        <v>#REF!</v>
      </c>
    </row>
    <row r="28" spans="1:28" s="37" customFormat="1" ht="17.25" customHeight="1">
      <c r="A28" s="776"/>
      <c r="B28" s="47">
        <f t="shared" si="7"/>
        <v>21</v>
      </c>
      <c r="C28" s="52">
        <f>'Food-Data Entry'!L27</f>
        <v>45982</v>
      </c>
      <c r="D28" s="53" t="str">
        <f>'Food-Data Entry'!O27</f>
        <v>Friday</v>
      </c>
      <c r="E28" s="569">
        <f t="shared" si="10"/>
        <v>461.4</v>
      </c>
      <c r="F28" s="570">
        <f t="shared" si="11"/>
        <v>85</v>
      </c>
      <c r="G28" s="569">
        <f>'Food-Data Entry'!$AD27</f>
        <v>0</v>
      </c>
      <c r="H28" s="570">
        <f>'Food-Data Entry'!$AF27</f>
        <v>0</v>
      </c>
      <c r="I28" s="569">
        <f>'Food-Data Entry'!AH27</f>
        <v>0</v>
      </c>
      <c r="J28" s="570">
        <f>'Food-Data Entry'!AJ27</f>
        <v>0</v>
      </c>
      <c r="K28" s="571">
        <f t="shared" si="2"/>
        <v>461.4</v>
      </c>
      <c r="L28" s="572">
        <f t="shared" si="3"/>
        <v>85</v>
      </c>
      <c r="M28" s="569">
        <f>'Food-Data Entry'!AW27</f>
        <v>2.5</v>
      </c>
      <c r="N28" s="570">
        <f>'Food-Data Entry'!AX27</f>
        <v>0</v>
      </c>
      <c r="O28" s="571">
        <f t="shared" si="0"/>
        <v>458.9</v>
      </c>
      <c r="P28" s="573">
        <f t="shared" si="1"/>
        <v>85</v>
      </c>
      <c r="Q28" s="99">
        <f>'Food-Data Entry'!R27</f>
        <v>145</v>
      </c>
      <c r="R28" s="100">
        <f>'Food-Data Entry'!S27</f>
        <v>200</v>
      </c>
      <c r="S28" s="103">
        <f t="shared" si="4"/>
        <v>345</v>
      </c>
      <c r="T28" s="99">
        <f>'Food-Data Entry'!X27</f>
        <v>10</v>
      </c>
      <c r="U28" s="100">
        <f>'Food-Data Entry'!Y27</f>
        <v>15</v>
      </c>
      <c r="V28" s="103">
        <f t="shared" si="5"/>
        <v>25</v>
      </c>
      <c r="W28" s="99">
        <f>'Food-Data Entry'!X27</f>
        <v>10</v>
      </c>
      <c r="X28" s="100">
        <f>'Food-Data Entry'!Y27</f>
        <v>15</v>
      </c>
      <c r="Y28" s="103">
        <f t="shared" si="6"/>
        <v>25</v>
      </c>
      <c r="Z28" s="54"/>
      <c r="AA28" s="763"/>
      <c r="AB28" s="36" t="e">
        <f>#REF!+#REF!+#REF!+#REF!</f>
        <v>#REF!</v>
      </c>
    </row>
    <row r="29" spans="1:28" s="37" customFormat="1" ht="17.25" customHeight="1">
      <c r="A29" s="776"/>
      <c r="B29" s="47">
        <f t="shared" si="7"/>
        <v>22</v>
      </c>
      <c r="C29" s="52">
        <f>'Food-Data Entry'!L28</f>
        <v>45983</v>
      </c>
      <c r="D29" s="53" t="str">
        <f>'Food-Data Entry'!O28</f>
        <v>Saturday</v>
      </c>
      <c r="E29" s="569">
        <f t="shared" si="10"/>
        <v>458.9</v>
      </c>
      <c r="F29" s="570">
        <f t="shared" si="11"/>
        <v>85</v>
      </c>
      <c r="G29" s="569">
        <f>'Food-Data Entry'!$AD28</f>
        <v>0</v>
      </c>
      <c r="H29" s="570">
        <f>'Food-Data Entry'!$AF28</f>
        <v>0</v>
      </c>
      <c r="I29" s="569">
        <f>'Food-Data Entry'!AH28</f>
        <v>0</v>
      </c>
      <c r="J29" s="570">
        <f>'Food-Data Entry'!AJ28</f>
        <v>0</v>
      </c>
      <c r="K29" s="571">
        <f t="shared" si="2"/>
        <v>458.9</v>
      </c>
      <c r="L29" s="572">
        <f t="shared" si="3"/>
        <v>85</v>
      </c>
      <c r="M29" s="569">
        <f>'Food-Data Entry'!AW28</f>
        <v>2.5</v>
      </c>
      <c r="N29" s="570">
        <f>'Food-Data Entry'!AX28</f>
        <v>0</v>
      </c>
      <c r="O29" s="571">
        <f t="shared" si="0"/>
        <v>456.4</v>
      </c>
      <c r="P29" s="573">
        <f t="shared" si="1"/>
        <v>85</v>
      </c>
      <c r="Q29" s="99">
        <f>'Food-Data Entry'!R28</f>
        <v>145</v>
      </c>
      <c r="R29" s="100">
        <f>'Food-Data Entry'!S28</f>
        <v>200</v>
      </c>
      <c r="S29" s="103">
        <f t="shared" si="4"/>
        <v>345</v>
      </c>
      <c r="T29" s="99">
        <f>'Food-Data Entry'!X28</f>
        <v>10</v>
      </c>
      <c r="U29" s="100">
        <f>'Food-Data Entry'!Y28</f>
        <v>15</v>
      </c>
      <c r="V29" s="103">
        <f t="shared" si="5"/>
        <v>25</v>
      </c>
      <c r="W29" s="99">
        <f>'Food-Data Entry'!X28</f>
        <v>10</v>
      </c>
      <c r="X29" s="100">
        <f>'Food-Data Entry'!Y28</f>
        <v>15</v>
      </c>
      <c r="Y29" s="103">
        <f t="shared" si="6"/>
        <v>25</v>
      </c>
      <c r="Z29" s="54"/>
      <c r="AA29" s="763"/>
      <c r="AB29" s="36" t="e">
        <f>#REF!+#REF!+#REF!+#REF!</f>
        <v>#REF!</v>
      </c>
    </row>
    <row r="30" spans="1:28" s="37" customFormat="1" ht="17.25" customHeight="1">
      <c r="A30" s="776"/>
      <c r="B30" s="47">
        <f t="shared" si="7"/>
        <v>23</v>
      </c>
      <c r="C30" s="52">
        <f>'Food-Data Entry'!L29</f>
        <v>45984</v>
      </c>
      <c r="D30" s="53" t="str">
        <f>'Food-Data Entry'!O29</f>
        <v>Holiday</v>
      </c>
      <c r="E30" s="569">
        <f t="shared" si="10"/>
        <v>456.4</v>
      </c>
      <c r="F30" s="570">
        <f t="shared" si="11"/>
        <v>85</v>
      </c>
      <c r="G30" s="569">
        <f>'Food-Data Entry'!$AD29</f>
        <v>0</v>
      </c>
      <c r="H30" s="570">
        <f>'Food-Data Entry'!$AF29</f>
        <v>0</v>
      </c>
      <c r="I30" s="569">
        <f>'Food-Data Entry'!AH29</f>
        <v>0</v>
      </c>
      <c r="J30" s="570">
        <f>'Food-Data Entry'!AJ29</f>
        <v>0</v>
      </c>
      <c r="K30" s="571">
        <f t="shared" si="2"/>
        <v>456.4</v>
      </c>
      <c r="L30" s="572">
        <f t="shared" si="3"/>
        <v>85</v>
      </c>
      <c r="M30" s="569">
        <f>'Food-Data Entry'!AW29</f>
        <v>0</v>
      </c>
      <c r="N30" s="570">
        <f>'Food-Data Entry'!AX29</f>
        <v>0</v>
      </c>
      <c r="O30" s="571">
        <f t="shared" si="0"/>
        <v>456.4</v>
      </c>
      <c r="P30" s="573">
        <f t="shared" si="1"/>
        <v>85</v>
      </c>
      <c r="Q30" s="99">
        <f>'Food-Data Entry'!R29</f>
        <v>145</v>
      </c>
      <c r="R30" s="100">
        <f>'Food-Data Entry'!S29</f>
        <v>200</v>
      </c>
      <c r="S30" s="103">
        <f t="shared" si="4"/>
        <v>345</v>
      </c>
      <c r="T30" s="99">
        <f>'Food-Data Entry'!X29</f>
        <v>0</v>
      </c>
      <c r="U30" s="100">
        <f>'Food-Data Entry'!Y29</f>
        <v>0</v>
      </c>
      <c r="V30" s="103">
        <f t="shared" si="5"/>
        <v>0</v>
      </c>
      <c r="W30" s="99">
        <f>'Food-Data Entry'!X29</f>
        <v>0</v>
      </c>
      <c r="X30" s="100">
        <f>'Food-Data Entry'!Y29</f>
        <v>0</v>
      </c>
      <c r="Y30" s="103">
        <f t="shared" si="6"/>
        <v>0</v>
      </c>
      <c r="Z30" s="54"/>
      <c r="AA30" s="763"/>
      <c r="AB30" s="36" t="e">
        <f>#REF!+#REF!+#REF!+#REF!</f>
        <v>#REF!</v>
      </c>
    </row>
    <row r="31" spans="1:28" s="37" customFormat="1" ht="17.25" customHeight="1">
      <c r="A31" s="776"/>
      <c r="B31" s="47">
        <f t="shared" si="7"/>
        <v>24</v>
      </c>
      <c r="C31" s="52">
        <f>'Food-Data Entry'!L30</f>
        <v>45985</v>
      </c>
      <c r="D31" s="53" t="str">
        <f>'Food-Data Entry'!O30</f>
        <v>Monday</v>
      </c>
      <c r="E31" s="569">
        <f t="shared" si="10"/>
        <v>456.4</v>
      </c>
      <c r="F31" s="570">
        <f t="shared" si="11"/>
        <v>85</v>
      </c>
      <c r="G31" s="569">
        <f>'Food-Data Entry'!$AD30</f>
        <v>0</v>
      </c>
      <c r="H31" s="570">
        <f>'Food-Data Entry'!$AF30</f>
        <v>0</v>
      </c>
      <c r="I31" s="569">
        <f>'Food-Data Entry'!AH30</f>
        <v>0</v>
      </c>
      <c r="J31" s="570">
        <f>'Food-Data Entry'!AJ30</f>
        <v>0</v>
      </c>
      <c r="K31" s="571">
        <f t="shared" si="2"/>
        <v>456.4</v>
      </c>
      <c r="L31" s="572">
        <f t="shared" si="3"/>
        <v>85</v>
      </c>
      <c r="M31" s="569">
        <f>'Food-Data Entry'!AW30</f>
        <v>2.5</v>
      </c>
      <c r="N31" s="570">
        <f>'Food-Data Entry'!AX30</f>
        <v>0</v>
      </c>
      <c r="O31" s="571">
        <f t="shared" si="0"/>
        <v>453.9</v>
      </c>
      <c r="P31" s="573">
        <f t="shared" si="1"/>
        <v>85</v>
      </c>
      <c r="Q31" s="99">
        <f>'Food-Data Entry'!R30</f>
        <v>145</v>
      </c>
      <c r="R31" s="100">
        <f>'Food-Data Entry'!S30</f>
        <v>200</v>
      </c>
      <c r="S31" s="103">
        <f t="shared" si="4"/>
        <v>345</v>
      </c>
      <c r="T31" s="99">
        <f>'Food-Data Entry'!X30</f>
        <v>10</v>
      </c>
      <c r="U31" s="100">
        <f>'Food-Data Entry'!Y30</f>
        <v>15</v>
      </c>
      <c r="V31" s="103">
        <f t="shared" si="5"/>
        <v>25</v>
      </c>
      <c r="W31" s="99">
        <f>'Food-Data Entry'!X30</f>
        <v>10</v>
      </c>
      <c r="X31" s="100">
        <f>'Food-Data Entry'!Y30</f>
        <v>15</v>
      </c>
      <c r="Y31" s="103">
        <f t="shared" si="6"/>
        <v>25</v>
      </c>
      <c r="Z31" s="54"/>
      <c r="AA31" s="763"/>
      <c r="AB31" s="36" t="e">
        <f>#REF!+#REF!+#REF!+#REF!</f>
        <v>#REF!</v>
      </c>
    </row>
    <row r="32" spans="1:28" s="37" customFormat="1" ht="17.25" customHeight="1">
      <c r="A32" s="776"/>
      <c r="B32" s="47">
        <f t="shared" si="7"/>
        <v>25</v>
      </c>
      <c r="C32" s="52">
        <f>'Food-Data Entry'!L31</f>
        <v>45986</v>
      </c>
      <c r="D32" s="53" t="str">
        <f>'Food-Data Entry'!O31</f>
        <v>Tuesday</v>
      </c>
      <c r="E32" s="569">
        <f t="shared" si="10"/>
        <v>453.9</v>
      </c>
      <c r="F32" s="570">
        <f t="shared" si="11"/>
        <v>85</v>
      </c>
      <c r="G32" s="569">
        <f>'Food-Data Entry'!$AD31</f>
        <v>0</v>
      </c>
      <c r="H32" s="570">
        <f>'Food-Data Entry'!$AF31</f>
        <v>0</v>
      </c>
      <c r="I32" s="569">
        <f>'Food-Data Entry'!AH31</f>
        <v>0</v>
      </c>
      <c r="J32" s="570">
        <f>'Food-Data Entry'!AJ31</f>
        <v>0</v>
      </c>
      <c r="K32" s="571">
        <f t="shared" si="2"/>
        <v>453.9</v>
      </c>
      <c r="L32" s="572">
        <f t="shared" si="3"/>
        <v>85</v>
      </c>
      <c r="M32" s="569">
        <f>'Food-Data Entry'!AW31</f>
        <v>0</v>
      </c>
      <c r="N32" s="570">
        <f>'Food-Data Entry'!AX31</f>
        <v>2.5</v>
      </c>
      <c r="O32" s="571">
        <f t="shared" si="0"/>
        <v>453.9</v>
      </c>
      <c r="P32" s="573">
        <f t="shared" si="1"/>
        <v>82.5</v>
      </c>
      <c r="Q32" s="99">
        <f>'Food-Data Entry'!R31</f>
        <v>145</v>
      </c>
      <c r="R32" s="100">
        <f>'Food-Data Entry'!S31</f>
        <v>200</v>
      </c>
      <c r="S32" s="103">
        <f t="shared" si="4"/>
        <v>345</v>
      </c>
      <c r="T32" s="99">
        <f>'Food-Data Entry'!X31</f>
        <v>10</v>
      </c>
      <c r="U32" s="100">
        <f>'Food-Data Entry'!Y31</f>
        <v>15</v>
      </c>
      <c r="V32" s="103">
        <f t="shared" si="5"/>
        <v>25</v>
      </c>
      <c r="W32" s="99">
        <f>'Food-Data Entry'!X31</f>
        <v>10</v>
      </c>
      <c r="X32" s="100">
        <f>'Food-Data Entry'!Y31</f>
        <v>15</v>
      </c>
      <c r="Y32" s="103">
        <f t="shared" si="6"/>
        <v>25</v>
      </c>
      <c r="Z32" s="54"/>
      <c r="AA32" s="763"/>
      <c r="AB32" s="36" t="e">
        <f>#REF!+#REF!+#REF!+#REF!</f>
        <v>#REF!</v>
      </c>
    </row>
    <row r="33" spans="1:29" s="37" customFormat="1" ht="17.25" customHeight="1">
      <c r="A33" s="776"/>
      <c r="B33" s="47">
        <f t="shared" si="7"/>
        <v>26</v>
      </c>
      <c r="C33" s="52">
        <f>'Food-Data Entry'!L32</f>
        <v>45987</v>
      </c>
      <c r="D33" s="53" t="str">
        <f>'Food-Data Entry'!O32</f>
        <v>Wednesday</v>
      </c>
      <c r="E33" s="569">
        <f t="shared" si="10"/>
        <v>453.9</v>
      </c>
      <c r="F33" s="570">
        <f t="shared" si="11"/>
        <v>82.5</v>
      </c>
      <c r="G33" s="569">
        <f>'Food-Data Entry'!$AD32</f>
        <v>0</v>
      </c>
      <c r="H33" s="570">
        <f>'Food-Data Entry'!$AF32</f>
        <v>0</v>
      </c>
      <c r="I33" s="569">
        <f>'Food-Data Entry'!AH32</f>
        <v>0</v>
      </c>
      <c r="J33" s="570">
        <f>'Food-Data Entry'!AJ32</f>
        <v>0</v>
      </c>
      <c r="K33" s="571">
        <f t="shared" si="2"/>
        <v>453.9</v>
      </c>
      <c r="L33" s="572">
        <f t="shared" si="3"/>
        <v>82.5</v>
      </c>
      <c r="M33" s="569">
        <f>'Food-Data Entry'!AW32</f>
        <v>2.5</v>
      </c>
      <c r="N33" s="570">
        <f>'Food-Data Entry'!AX32</f>
        <v>0</v>
      </c>
      <c r="O33" s="571">
        <f t="shared" si="0"/>
        <v>451.4</v>
      </c>
      <c r="P33" s="573">
        <f t="shared" si="1"/>
        <v>82.5</v>
      </c>
      <c r="Q33" s="99">
        <f>'Food-Data Entry'!R32</f>
        <v>145</v>
      </c>
      <c r="R33" s="100">
        <f>'Food-Data Entry'!S32</f>
        <v>200</v>
      </c>
      <c r="S33" s="103">
        <f t="shared" si="4"/>
        <v>345</v>
      </c>
      <c r="T33" s="99">
        <f>'Food-Data Entry'!X32</f>
        <v>10</v>
      </c>
      <c r="U33" s="100">
        <f>'Food-Data Entry'!Y32</f>
        <v>15</v>
      </c>
      <c r="V33" s="103">
        <f t="shared" si="5"/>
        <v>25</v>
      </c>
      <c r="W33" s="99">
        <f>'Food-Data Entry'!X32</f>
        <v>10</v>
      </c>
      <c r="X33" s="100">
        <f>'Food-Data Entry'!Y32</f>
        <v>15</v>
      </c>
      <c r="Y33" s="103">
        <f t="shared" si="6"/>
        <v>25</v>
      </c>
      <c r="Z33" s="54"/>
      <c r="AA33" s="763"/>
      <c r="AB33" s="36" t="e">
        <f>#REF!+#REF!+#REF!+#REF!</f>
        <v>#REF!</v>
      </c>
    </row>
    <row r="34" spans="1:29" s="37" customFormat="1" ht="17.25" customHeight="1">
      <c r="A34" s="776"/>
      <c r="B34" s="47">
        <f t="shared" si="7"/>
        <v>27</v>
      </c>
      <c r="C34" s="52">
        <f>'Food-Data Entry'!L33</f>
        <v>45988</v>
      </c>
      <c r="D34" s="53" t="str">
        <f>'Food-Data Entry'!O33</f>
        <v>Thursday</v>
      </c>
      <c r="E34" s="569">
        <f t="shared" si="10"/>
        <v>451.4</v>
      </c>
      <c r="F34" s="570">
        <f t="shared" si="11"/>
        <v>82.5</v>
      </c>
      <c r="G34" s="569">
        <f>'Food-Data Entry'!$AD33</f>
        <v>0</v>
      </c>
      <c r="H34" s="570">
        <f>'Food-Data Entry'!$AF33</f>
        <v>0</v>
      </c>
      <c r="I34" s="569">
        <f>'Food-Data Entry'!AH33</f>
        <v>0</v>
      </c>
      <c r="J34" s="570">
        <f>'Food-Data Entry'!AJ33</f>
        <v>0</v>
      </c>
      <c r="K34" s="571">
        <f t="shared" si="2"/>
        <v>451.4</v>
      </c>
      <c r="L34" s="572">
        <f t="shared" si="3"/>
        <v>82.5</v>
      </c>
      <c r="M34" s="569">
        <f>'Food-Data Entry'!AW33</f>
        <v>0</v>
      </c>
      <c r="N34" s="570">
        <f>'Food-Data Entry'!AX33</f>
        <v>2.5</v>
      </c>
      <c r="O34" s="571">
        <f t="shared" si="0"/>
        <v>451.4</v>
      </c>
      <c r="P34" s="573">
        <f t="shared" si="1"/>
        <v>80</v>
      </c>
      <c r="Q34" s="99">
        <f>'Food-Data Entry'!R33</f>
        <v>145</v>
      </c>
      <c r="R34" s="100">
        <f>'Food-Data Entry'!S33</f>
        <v>200</v>
      </c>
      <c r="S34" s="103">
        <f t="shared" si="4"/>
        <v>345</v>
      </c>
      <c r="T34" s="99">
        <f>'Food-Data Entry'!X33</f>
        <v>10</v>
      </c>
      <c r="U34" s="100">
        <f>'Food-Data Entry'!Y33</f>
        <v>15</v>
      </c>
      <c r="V34" s="103">
        <f t="shared" si="5"/>
        <v>25</v>
      </c>
      <c r="W34" s="99">
        <f>'Food-Data Entry'!X33</f>
        <v>10</v>
      </c>
      <c r="X34" s="100">
        <f>'Food-Data Entry'!Y33</f>
        <v>15</v>
      </c>
      <c r="Y34" s="103">
        <f t="shared" si="6"/>
        <v>25</v>
      </c>
      <c r="Z34" s="54"/>
      <c r="AA34" s="763"/>
      <c r="AB34" s="36" t="e">
        <f>#REF!+#REF!+#REF!+#REF!</f>
        <v>#REF!</v>
      </c>
    </row>
    <row r="35" spans="1:29" s="37" customFormat="1" ht="17.25" customHeight="1">
      <c r="A35" s="776"/>
      <c r="B35" s="47">
        <f t="shared" si="7"/>
        <v>28</v>
      </c>
      <c r="C35" s="52">
        <f>'Food-Data Entry'!L34</f>
        <v>45989</v>
      </c>
      <c r="D35" s="53" t="str">
        <f>'Food-Data Entry'!O34</f>
        <v>Friday</v>
      </c>
      <c r="E35" s="569">
        <f t="shared" si="10"/>
        <v>451.4</v>
      </c>
      <c r="F35" s="570">
        <f t="shared" si="11"/>
        <v>80</v>
      </c>
      <c r="G35" s="569">
        <f>'Food-Data Entry'!$AD34</f>
        <v>0</v>
      </c>
      <c r="H35" s="570">
        <f>'Food-Data Entry'!$AF34</f>
        <v>0</v>
      </c>
      <c r="I35" s="569">
        <f>'Food-Data Entry'!AH34</f>
        <v>0</v>
      </c>
      <c r="J35" s="570">
        <f>'Food-Data Entry'!AJ34</f>
        <v>0</v>
      </c>
      <c r="K35" s="571">
        <f t="shared" si="2"/>
        <v>451.4</v>
      </c>
      <c r="L35" s="572">
        <f t="shared" si="3"/>
        <v>80</v>
      </c>
      <c r="M35" s="569">
        <f>'Food-Data Entry'!AW34</f>
        <v>2.5</v>
      </c>
      <c r="N35" s="570">
        <f>'Food-Data Entry'!AX34</f>
        <v>0</v>
      </c>
      <c r="O35" s="571">
        <f t="shared" si="0"/>
        <v>448.9</v>
      </c>
      <c r="P35" s="573">
        <f t="shared" si="1"/>
        <v>80</v>
      </c>
      <c r="Q35" s="99">
        <f>'Food-Data Entry'!R34</f>
        <v>145</v>
      </c>
      <c r="R35" s="100">
        <f>'Food-Data Entry'!S34</f>
        <v>200</v>
      </c>
      <c r="S35" s="103">
        <f t="shared" si="4"/>
        <v>345</v>
      </c>
      <c r="T35" s="99">
        <f>'Food-Data Entry'!X34</f>
        <v>10</v>
      </c>
      <c r="U35" s="100">
        <f>'Food-Data Entry'!Y34</f>
        <v>15</v>
      </c>
      <c r="V35" s="103">
        <f t="shared" si="5"/>
        <v>25</v>
      </c>
      <c r="W35" s="99">
        <f>'Food-Data Entry'!X34</f>
        <v>10</v>
      </c>
      <c r="X35" s="100">
        <f>'Food-Data Entry'!Y34</f>
        <v>15</v>
      </c>
      <c r="Y35" s="103">
        <f t="shared" si="6"/>
        <v>25</v>
      </c>
      <c r="Z35" s="54"/>
      <c r="AA35" s="763"/>
      <c r="AB35" s="36" t="e">
        <f>#REF!+#REF!+#REF!+#REF!</f>
        <v>#REF!</v>
      </c>
    </row>
    <row r="36" spans="1:29" s="37" customFormat="1" ht="17.25" customHeight="1">
      <c r="A36" s="776"/>
      <c r="B36" s="47">
        <f t="shared" si="7"/>
        <v>29</v>
      </c>
      <c r="C36" s="52">
        <f>'Food-Data Entry'!L35</f>
        <v>45990</v>
      </c>
      <c r="D36" s="53" t="str">
        <f>'Food-Data Entry'!O35</f>
        <v>Saturday</v>
      </c>
      <c r="E36" s="569">
        <f t="shared" si="10"/>
        <v>448.9</v>
      </c>
      <c r="F36" s="570">
        <f t="shared" si="11"/>
        <v>80</v>
      </c>
      <c r="G36" s="569">
        <f>'Food-Data Entry'!$AD35</f>
        <v>0</v>
      </c>
      <c r="H36" s="570">
        <f>'Food-Data Entry'!$AF35</f>
        <v>0</v>
      </c>
      <c r="I36" s="569">
        <f>'Food-Data Entry'!AH35</f>
        <v>0</v>
      </c>
      <c r="J36" s="570">
        <f>'Food-Data Entry'!AJ35</f>
        <v>0</v>
      </c>
      <c r="K36" s="571">
        <f t="shared" si="2"/>
        <v>448.9</v>
      </c>
      <c r="L36" s="572">
        <f t="shared" si="3"/>
        <v>80</v>
      </c>
      <c r="M36" s="569">
        <f>'Food-Data Entry'!AW35</f>
        <v>2.5</v>
      </c>
      <c r="N36" s="570">
        <f>'Food-Data Entry'!AX35</f>
        <v>0</v>
      </c>
      <c r="O36" s="571">
        <f t="shared" si="0"/>
        <v>446.4</v>
      </c>
      <c r="P36" s="573">
        <f t="shared" si="1"/>
        <v>80</v>
      </c>
      <c r="Q36" s="99">
        <f>'Food-Data Entry'!R35</f>
        <v>145</v>
      </c>
      <c r="R36" s="100">
        <f>'Food-Data Entry'!S35</f>
        <v>200</v>
      </c>
      <c r="S36" s="103">
        <f t="shared" si="4"/>
        <v>345</v>
      </c>
      <c r="T36" s="99">
        <f>'Food-Data Entry'!X35</f>
        <v>10</v>
      </c>
      <c r="U36" s="100">
        <f>'Food-Data Entry'!Y35</f>
        <v>15</v>
      </c>
      <c r="V36" s="103">
        <f t="shared" si="5"/>
        <v>25</v>
      </c>
      <c r="W36" s="99">
        <f>'Food-Data Entry'!X35</f>
        <v>10</v>
      </c>
      <c r="X36" s="100">
        <f>'Food-Data Entry'!Y35</f>
        <v>15</v>
      </c>
      <c r="Y36" s="103">
        <f t="shared" si="6"/>
        <v>25</v>
      </c>
      <c r="Z36" s="54"/>
      <c r="AA36" s="763"/>
      <c r="AB36" s="36" t="e">
        <f>#REF!+#REF!+#REF!+#REF!</f>
        <v>#REF!</v>
      </c>
    </row>
    <row r="37" spans="1:29" s="37" customFormat="1" ht="17.25" customHeight="1">
      <c r="A37" s="776"/>
      <c r="B37" s="47">
        <f t="shared" si="7"/>
        <v>30</v>
      </c>
      <c r="C37" s="52">
        <f>'Food-Data Entry'!L36</f>
        <v>45991</v>
      </c>
      <c r="D37" s="53" t="str">
        <f>'Food-Data Entry'!O36</f>
        <v>Holiday</v>
      </c>
      <c r="E37" s="569">
        <f t="shared" si="10"/>
        <v>446.4</v>
      </c>
      <c r="F37" s="570">
        <f t="shared" si="11"/>
        <v>80</v>
      </c>
      <c r="G37" s="569">
        <f>'Food-Data Entry'!$AD36</f>
        <v>0</v>
      </c>
      <c r="H37" s="570">
        <f>'Food-Data Entry'!$AF36</f>
        <v>0</v>
      </c>
      <c r="I37" s="569">
        <f>'Food-Data Entry'!AH36</f>
        <v>0</v>
      </c>
      <c r="J37" s="570">
        <f>'Food-Data Entry'!AJ36</f>
        <v>0</v>
      </c>
      <c r="K37" s="571">
        <f t="shared" si="2"/>
        <v>446.4</v>
      </c>
      <c r="L37" s="572">
        <f t="shared" si="3"/>
        <v>80</v>
      </c>
      <c r="M37" s="569">
        <f>'Food-Data Entry'!AW36</f>
        <v>0</v>
      </c>
      <c r="N37" s="570">
        <f>'Food-Data Entry'!AX36</f>
        <v>0</v>
      </c>
      <c r="O37" s="571">
        <f t="shared" si="0"/>
        <v>446.4</v>
      </c>
      <c r="P37" s="573">
        <f t="shared" si="1"/>
        <v>80</v>
      </c>
      <c r="Q37" s="99">
        <f>'Food-Data Entry'!R36</f>
        <v>145</v>
      </c>
      <c r="R37" s="100">
        <f>'Food-Data Entry'!S36</f>
        <v>200</v>
      </c>
      <c r="S37" s="103">
        <f t="shared" si="4"/>
        <v>345</v>
      </c>
      <c r="T37" s="99">
        <f>'Food-Data Entry'!X36</f>
        <v>0</v>
      </c>
      <c r="U37" s="100">
        <f>'Food-Data Entry'!Y36</f>
        <v>0</v>
      </c>
      <c r="V37" s="103">
        <f t="shared" si="5"/>
        <v>0</v>
      </c>
      <c r="W37" s="99">
        <f>'Food-Data Entry'!X36</f>
        <v>0</v>
      </c>
      <c r="X37" s="100">
        <f>'Food-Data Entry'!Y36</f>
        <v>0</v>
      </c>
      <c r="Y37" s="103">
        <f t="shared" si="6"/>
        <v>0</v>
      </c>
      <c r="Z37" s="54"/>
      <c r="AA37" s="763"/>
      <c r="AB37" s="36" t="e">
        <f>#REF!+#REF!+#REF!+#REF!</f>
        <v>#REF!</v>
      </c>
    </row>
    <row r="38" spans="1:29" s="37" customFormat="1" ht="15" customHeight="1" thickBot="1">
      <c r="A38" s="776"/>
      <c r="B38" s="59">
        <f t="shared" si="7"/>
        <v>0</v>
      </c>
      <c r="C38" s="55" t="str">
        <f>'Food-Data Entry'!L37</f>
        <v>---</v>
      </c>
      <c r="D38" s="56" t="str">
        <f>'Food-Data Entry'!O37</f>
        <v>---</v>
      </c>
      <c r="E38" s="574">
        <f t="shared" si="10"/>
        <v>446.4</v>
      </c>
      <c r="F38" s="575">
        <f t="shared" si="11"/>
        <v>80</v>
      </c>
      <c r="G38" s="574">
        <f>'Food-Data Entry'!$AD37</f>
        <v>0</v>
      </c>
      <c r="H38" s="575">
        <f>'Food-Data Entry'!$AF37</f>
        <v>0</v>
      </c>
      <c r="I38" s="574">
        <f>'Food-Data Entry'!AH37</f>
        <v>0</v>
      </c>
      <c r="J38" s="575">
        <f>'Food-Data Entry'!AJ37</f>
        <v>0</v>
      </c>
      <c r="K38" s="576">
        <f t="shared" si="2"/>
        <v>446.4</v>
      </c>
      <c r="L38" s="577">
        <f t="shared" si="3"/>
        <v>80</v>
      </c>
      <c r="M38" s="578">
        <f>'Food-Data Entry'!AW37</f>
        <v>0</v>
      </c>
      <c r="N38" s="579">
        <f>'Food-Data Entry'!AX37</f>
        <v>0</v>
      </c>
      <c r="O38" s="580">
        <f t="shared" si="0"/>
        <v>446.4</v>
      </c>
      <c r="P38" s="581">
        <f t="shared" si="1"/>
        <v>80</v>
      </c>
      <c r="Q38" s="101" t="str">
        <f>'Food-Data Entry'!R37</f>
        <v>---</v>
      </c>
      <c r="R38" s="102" t="str">
        <f>'Food-Data Entry'!S37</f>
        <v>---</v>
      </c>
      <c r="S38" s="104">
        <f t="shared" si="4"/>
        <v>0</v>
      </c>
      <c r="T38" s="101">
        <f>'Food-Data Entry'!X37</f>
        <v>10</v>
      </c>
      <c r="U38" s="102">
        <f>'Food-Data Entry'!Y37</f>
        <v>15</v>
      </c>
      <c r="V38" s="104">
        <f t="shared" si="5"/>
        <v>25</v>
      </c>
      <c r="W38" s="101">
        <f>'Food-Data Entry'!X37</f>
        <v>10</v>
      </c>
      <c r="X38" s="102">
        <f>'Food-Data Entry'!Y37</f>
        <v>15</v>
      </c>
      <c r="Y38" s="104">
        <f t="shared" si="6"/>
        <v>25</v>
      </c>
      <c r="Z38" s="60"/>
      <c r="AA38" s="763"/>
      <c r="AB38" s="36" t="e">
        <f>#REF!+#REF!+#REF!+#REF!</f>
        <v>#REF!</v>
      </c>
    </row>
    <row r="39" spans="1:29" s="37" customFormat="1" ht="15" customHeight="1">
      <c r="A39" s="776"/>
      <c r="B39" s="1303" t="s">
        <v>161</v>
      </c>
      <c r="C39" s="1304"/>
      <c r="D39" s="105" t="s">
        <v>162</v>
      </c>
      <c r="E39" s="1307">
        <f>'Food-Data Entry'!AD38</f>
        <v>0</v>
      </c>
      <c r="F39" s="1307"/>
      <c r="G39" s="1308"/>
      <c r="H39" s="1303" t="s">
        <v>164</v>
      </c>
      <c r="I39" s="1304"/>
      <c r="J39" s="1309"/>
      <c r="K39" s="1311" t="s">
        <v>162</v>
      </c>
      <c r="L39" s="1312"/>
      <c r="M39" s="1307">
        <f>'Food-Data Entry'!AH38</f>
        <v>0</v>
      </c>
      <c r="N39" s="1307"/>
      <c r="O39" s="1308"/>
      <c r="P39" s="1313" t="s">
        <v>165</v>
      </c>
      <c r="Q39" s="1314"/>
      <c r="R39" s="1314"/>
      <c r="S39" s="1315"/>
      <c r="T39" s="1319" t="s">
        <v>166</v>
      </c>
      <c r="U39" s="1320"/>
      <c r="V39" s="1320"/>
      <c r="W39" s="1321">
        <f>O38</f>
        <v>446.4</v>
      </c>
      <c r="X39" s="1321"/>
      <c r="Y39" s="1321"/>
      <c r="Z39" s="1322"/>
      <c r="AA39" s="763"/>
      <c r="AB39" s="36"/>
    </row>
    <row r="40" spans="1:29" s="37" customFormat="1" ht="21" customHeight="1" thickBot="1">
      <c r="A40" s="776"/>
      <c r="B40" s="1305"/>
      <c r="C40" s="1306"/>
      <c r="D40" s="106" t="s">
        <v>163</v>
      </c>
      <c r="E40" s="1323">
        <f>'Food-Data Entry'!AF38</f>
        <v>0</v>
      </c>
      <c r="F40" s="1323"/>
      <c r="G40" s="1324"/>
      <c r="H40" s="1305"/>
      <c r="I40" s="1306"/>
      <c r="J40" s="1310"/>
      <c r="K40" s="1325" t="s">
        <v>163</v>
      </c>
      <c r="L40" s="1326"/>
      <c r="M40" s="1323">
        <f>'Food-Data Entry'!AJ38</f>
        <v>0</v>
      </c>
      <c r="N40" s="1323"/>
      <c r="O40" s="1324"/>
      <c r="P40" s="1316"/>
      <c r="Q40" s="1317"/>
      <c r="R40" s="1317"/>
      <c r="S40" s="1318"/>
      <c r="T40" s="1327" t="s">
        <v>167</v>
      </c>
      <c r="U40" s="1327"/>
      <c r="V40" s="1327"/>
      <c r="W40" s="1328">
        <f>P38</f>
        <v>80</v>
      </c>
      <c r="X40" s="1328"/>
      <c r="Y40" s="1328"/>
      <c r="Z40" s="1329"/>
      <c r="AA40" s="763"/>
      <c r="AB40" s="36"/>
    </row>
    <row r="41" spans="1:29" ht="15" customHeight="1" thickBot="1">
      <c r="A41" s="776"/>
      <c r="B41" s="1330"/>
      <c r="C41" s="1330"/>
      <c r="D41" s="1330"/>
      <c r="E41" s="1330"/>
      <c r="F41" s="1330"/>
      <c r="G41" s="1330"/>
      <c r="H41" s="1330"/>
      <c r="I41" s="1330"/>
      <c r="J41" s="1330"/>
      <c r="K41" s="1330"/>
      <c r="L41" s="1330"/>
      <c r="M41" s="1330"/>
      <c r="N41" s="1330"/>
      <c r="O41" s="38"/>
      <c r="P41" s="38"/>
      <c r="Q41" s="65"/>
      <c r="R41" s="65"/>
      <c r="S41" s="65"/>
      <c r="T41" s="65"/>
      <c r="U41" s="65"/>
      <c r="V41" s="65"/>
      <c r="W41" s="65"/>
      <c r="X41" s="65"/>
      <c r="Y41" s="65"/>
      <c r="Z41" s="32"/>
      <c r="AA41" s="763"/>
    </row>
    <row r="42" spans="1:29" ht="15.75" hidden="1" thickBot="1">
      <c r="A42" s="763"/>
      <c r="B42" s="763"/>
      <c r="C42" s="763"/>
      <c r="D42" s="763"/>
      <c r="E42" s="763"/>
      <c r="F42" s="763"/>
      <c r="G42" s="763"/>
      <c r="H42" s="763"/>
      <c r="I42" s="763"/>
      <c r="J42" s="763"/>
      <c r="K42" s="763"/>
      <c r="L42" s="763"/>
      <c r="M42" s="763"/>
      <c r="N42" s="763"/>
      <c r="O42" s="763"/>
      <c r="P42" s="763"/>
      <c r="Q42" s="763"/>
      <c r="R42" s="763"/>
      <c r="S42" s="763"/>
      <c r="T42" s="763"/>
      <c r="U42" s="763"/>
      <c r="V42" s="763"/>
      <c r="W42" s="763"/>
      <c r="X42" s="763"/>
      <c r="Y42" s="763"/>
      <c r="Z42" s="763"/>
      <c r="AA42" s="763"/>
    </row>
    <row r="43" spans="1:29" s="46" customFormat="1" ht="25.5" customHeight="1" thickBot="1">
      <c r="A43" s="776"/>
      <c r="B43" s="1255" t="str">
        <f>'Food-Data Entry'!B2</f>
        <v>Office: Govt. Sr. Sec. School Raimalwada, Bapini (Phalodi)</v>
      </c>
      <c r="C43" s="1256"/>
      <c r="D43" s="1256"/>
      <c r="E43" s="1257"/>
      <c r="F43" s="1257"/>
      <c r="G43" s="1257"/>
      <c r="H43" s="1257"/>
      <c r="I43" s="1257"/>
      <c r="J43" s="1257"/>
      <c r="K43" s="1257"/>
      <c r="L43" s="1257"/>
      <c r="M43" s="1257"/>
      <c r="N43" s="1257"/>
      <c r="O43" s="1256"/>
      <c r="P43" s="1256"/>
      <c r="Q43" s="1256"/>
      <c r="R43" s="1256"/>
      <c r="S43" s="1256"/>
      <c r="T43" s="1256"/>
      <c r="U43" s="1256"/>
      <c r="V43" s="1256"/>
      <c r="W43" s="1256"/>
      <c r="X43" s="1256"/>
      <c r="Y43" s="1256"/>
      <c r="Z43" s="1258"/>
      <c r="AA43" s="763"/>
      <c r="AC43" s="57">
        <f>EOMONTH('Food-Data Entry'!AM3,-1)+1</f>
        <v>45962</v>
      </c>
    </row>
    <row r="44" spans="1:29" ht="22.5" customHeight="1" thickBot="1">
      <c r="A44" s="776"/>
      <c r="B44" s="1259"/>
      <c r="C44" s="1260"/>
      <c r="D44" s="1261"/>
      <c r="E44" s="1262" t="s">
        <v>170</v>
      </c>
      <c r="F44" s="1263"/>
      <c r="G44" s="1263"/>
      <c r="H44" s="1263"/>
      <c r="I44" s="1263"/>
      <c r="J44" s="1263"/>
      <c r="K44" s="1263"/>
      <c r="L44" s="1263"/>
      <c r="M44" s="1263"/>
      <c r="N44" s="1263"/>
      <c r="O44" s="1263"/>
      <c r="P44" s="1264" t="str">
        <f>CONCATENATE(V3,X3)</f>
        <v>Month:-November-2025</v>
      </c>
      <c r="Q44" s="1265"/>
      <c r="R44" s="1265"/>
      <c r="S44" s="1265"/>
      <c r="T44" s="1265"/>
      <c r="U44" s="1265"/>
      <c r="V44" s="1265"/>
      <c r="W44" s="1265"/>
      <c r="X44" s="1265"/>
      <c r="Y44" s="1265"/>
      <c r="Z44" s="1266"/>
      <c r="AA44" s="763"/>
      <c r="AC44" s="58">
        <f>EOMONTH('Food-Data Entry'!AM3,0)</f>
        <v>45991</v>
      </c>
    </row>
    <row r="45" spans="1:29" ht="21" thickBot="1">
      <c r="A45" s="776"/>
      <c r="B45" s="1267" t="s">
        <v>122</v>
      </c>
      <c r="C45" s="1271" t="s">
        <v>123</v>
      </c>
      <c r="D45" s="1275" t="s">
        <v>51</v>
      </c>
      <c r="E45" s="1278" t="s">
        <v>140</v>
      </c>
      <c r="F45" s="1279"/>
      <c r="G45" s="1279"/>
      <c r="H45" s="1279"/>
      <c r="I45" s="1279"/>
      <c r="J45" s="1279"/>
      <c r="K45" s="1279"/>
      <c r="L45" s="1279"/>
      <c r="M45" s="1279"/>
      <c r="N45" s="1279"/>
      <c r="O45" s="1279"/>
      <c r="P45" s="1280"/>
      <c r="Q45" s="1281" t="s">
        <v>169</v>
      </c>
      <c r="R45" s="1282"/>
      <c r="S45" s="1282"/>
      <c r="T45" s="1282"/>
      <c r="U45" s="1282"/>
      <c r="V45" s="1282"/>
      <c r="W45" s="1282"/>
      <c r="X45" s="1282"/>
      <c r="Y45" s="1283"/>
      <c r="Z45" s="1284" t="s">
        <v>124</v>
      </c>
      <c r="AA45" s="763"/>
    </row>
    <row r="46" spans="1:29" ht="26.25" customHeight="1">
      <c r="A46" s="776"/>
      <c r="B46" s="1268"/>
      <c r="C46" s="1272"/>
      <c r="D46" s="1276"/>
      <c r="E46" s="1287" t="s">
        <v>125</v>
      </c>
      <c r="F46" s="1288"/>
      <c r="G46" s="1287" t="s">
        <v>154</v>
      </c>
      <c r="H46" s="1288"/>
      <c r="I46" s="1287" t="s">
        <v>155</v>
      </c>
      <c r="J46" s="1288"/>
      <c r="K46" s="1289" t="s">
        <v>126</v>
      </c>
      <c r="L46" s="1290"/>
      <c r="M46" s="1287" t="s">
        <v>143</v>
      </c>
      <c r="N46" s="1288"/>
      <c r="O46" s="1291" t="s">
        <v>127</v>
      </c>
      <c r="P46" s="1292"/>
      <c r="Q46" s="1293" t="s">
        <v>156</v>
      </c>
      <c r="R46" s="1294"/>
      <c r="S46" s="1295"/>
      <c r="T46" s="1293" t="s">
        <v>157</v>
      </c>
      <c r="U46" s="1294"/>
      <c r="V46" s="1295"/>
      <c r="W46" s="1293" t="s">
        <v>158</v>
      </c>
      <c r="X46" s="1294"/>
      <c r="Y46" s="1295"/>
      <c r="Z46" s="1285"/>
      <c r="AA46" s="763"/>
    </row>
    <row r="47" spans="1:29" ht="15" customHeight="1">
      <c r="A47" s="776"/>
      <c r="B47" s="1269"/>
      <c r="C47" s="1273"/>
      <c r="D47" s="1276"/>
      <c r="E47" s="1296" t="s">
        <v>129</v>
      </c>
      <c r="F47" s="1297"/>
      <c r="G47" s="1296" t="s">
        <v>129</v>
      </c>
      <c r="H47" s="1297"/>
      <c r="I47" s="1296" t="s">
        <v>129</v>
      </c>
      <c r="J47" s="1297"/>
      <c r="K47" s="1298" t="s">
        <v>129</v>
      </c>
      <c r="L47" s="1299"/>
      <c r="M47" s="1296" t="s">
        <v>129</v>
      </c>
      <c r="N47" s="1297"/>
      <c r="O47" s="1298" t="s">
        <v>129</v>
      </c>
      <c r="P47" s="1299"/>
      <c r="Q47" s="1300" t="s">
        <v>129</v>
      </c>
      <c r="R47" s="1301"/>
      <c r="S47" s="1302"/>
      <c r="T47" s="1300" t="s">
        <v>129</v>
      </c>
      <c r="U47" s="1301"/>
      <c r="V47" s="1302"/>
      <c r="W47" s="1300" t="s">
        <v>129</v>
      </c>
      <c r="X47" s="1301"/>
      <c r="Y47" s="1302"/>
      <c r="Z47" s="1285"/>
      <c r="AA47" s="763"/>
    </row>
    <row r="48" spans="1:29" ht="16.5" customHeight="1" thickBot="1">
      <c r="A48" s="776"/>
      <c r="B48" s="1270"/>
      <c r="C48" s="1274"/>
      <c r="D48" s="1277"/>
      <c r="E48" s="66" t="s">
        <v>141</v>
      </c>
      <c r="F48" s="81" t="s">
        <v>142</v>
      </c>
      <c r="G48" s="66" t="s">
        <v>141</v>
      </c>
      <c r="H48" s="81" t="s">
        <v>142</v>
      </c>
      <c r="I48" s="66" t="s">
        <v>141</v>
      </c>
      <c r="J48" s="81" t="s">
        <v>142</v>
      </c>
      <c r="K48" s="92" t="s">
        <v>141</v>
      </c>
      <c r="L48" s="93" t="s">
        <v>142</v>
      </c>
      <c r="M48" s="66" t="s">
        <v>141</v>
      </c>
      <c r="N48" s="81" t="s">
        <v>142</v>
      </c>
      <c r="O48" s="92" t="s">
        <v>141</v>
      </c>
      <c r="P48" s="94" t="s">
        <v>142</v>
      </c>
      <c r="Q48" s="34" t="s">
        <v>159</v>
      </c>
      <c r="R48" s="35" t="s">
        <v>160</v>
      </c>
      <c r="S48" s="82" t="s">
        <v>130</v>
      </c>
      <c r="T48" s="34" t="s">
        <v>159</v>
      </c>
      <c r="U48" s="35" t="s">
        <v>160</v>
      </c>
      <c r="V48" s="82" t="s">
        <v>130</v>
      </c>
      <c r="W48" s="34" t="s">
        <v>159</v>
      </c>
      <c r="X48" s="35" t="s">
        <v>160</v>
      </c>
      <c r="Y48" s="82" t="s">
        <v>130</v>
      </c>
      <c r="Z48" s="1286"/>
      <c r="AA48" s="763"/>
    </row>
    <row r="49" spans="1:28" s="37" customFormat="1" ht="17.25" customHeight="1">
      <c r="A49" s="776"/>
      <c r="B49" s="47">
        <f>IF(C49&lt;AC44,1,0)</f>
        <v>1</v>
      </c>
      <c r="C49" s="48">
        <f>'Food-Data Entry'!L7</f>
        <v>45962</v>
      </c>
      <c r="D49" s="49" t="str">
        <f>'Food-Data Entry'!O7</f>
        <v>Saturday</v>
      </c>
      <c r="E49" s="564">
        <f>('Food-Data Entry'!D12+'Food-Data Entry'!E12+'Food-Data Entry'!H12)-'Food-Data Entry'!J12</f>
        <v>306.7</v>
      </c>
      <c r="F49" s="565">
        <f>('Food-Data Entry'!D13+'Food-Data Entry'!E13+'Food-Data Entry'!H13)-'Food-Data Entry'!J13</f>
        <v>227.7</v>
      </c>
      <c r="G49" s="564">
        <f>'Food-Data Entry'!AE7</f>
        <v>0</v>
      </c>
      <c r="H49" s="565">
        <f>'Food-Data Entry'!AG7</f>
        <v>0</v>
      </c>
      <c r="I49" s="564">
        <f>'Food-Data Entry'!AI7</f>
        <v>0</v>
      </c>
      <c r="J49" s="565">
        <f>'Food-Data Entry'!AK7</f>
        <v>0</v>
      </c>
      <c r="K49" s="566">
        <f t="shared" ref="K49:K79" si="12">E49+G49+I49</f>
        <v>306.7</v>
      </c>
      <c r="L49" s="567">
        <f t="shared" ref="L49:L79" si="13">F49+H49+J49</f>
        <v>227.7</v>
      </c>
      <c r="M49" s="564">
        <f>'Food-Data Entry'!AY7</f>
        <v>1.8</v>
      </c>
      <c r="N49" s="565">
        <f>'Food-Data Entry'!AZ7</f>
        <v>0</v>
      </c>
      <c r="O49" s="566">
        <f t="shared" ref="O49:O79" si="14">K49-M49</f>
        <v>304.89999999999998</v>
      </c>
      <c r="P49" s="568">
        <f t="shared" ref="P49:P79" si="15">L49-N49</f>
        <v>227.7</v>
      </c>
      <c r="Q49" s="95">
        <f>'Food-Data Entry'!U7</f>
        <v>135</v>
      </c>
      <c r="R49" s="96">
        <f>'Food-Data Entry'!V7</f>
        <v>168</v>
      </c>
      <c r="S49" s="98">
        <f t="shared" ref="S49:S79" si="16">SUM(Q49:R49)</f>
        <v>303</v>
      </c>
      <c r="T49" s="95">
        <f>'Food-Data Entry'!AA7</f>
        <v>5</v>
      </c>
      <c r="U49" s="97">
        <f>'Food-Data Entry'!AB7</f>
        <v>7</v>
      </c>
      <c r="V49" s="98">
        <f t="shared" ref="V49:V79" si="17">SUM(T49:U49)</f>
        <v>12</v>
      </c>
      <c r="W49" s="95">
        <f>'Food-Data Entry'!AA7</f>
        <v>5</v>
      </c>
      <c r="X49" s="97">
        <f>'Food-Data Entry'!AB7</f>
        <v>7</v>
      </c>
      <c r="Y49" s="98">
        <f t="shared" ref="Y49:Y79" si="18">SUM(W49:X49)</f>
        <v>12</v>
      </c>
      <c r="Z49" s="50"/>
      <c r="AA49" s="763"/>
      <c r="AB49" s="36" t="e">
        <f>#REF!+#REF!+#REF!+#REF!</f>
        <v>#REF!</v>
      </c>
    </row>
    <row r="50" spans="1:28" s="37" customFormat="1" ht="17.25" customHeight="1">
      <c r="A50" s="776"/>
      <c r="B50" s="47">
        <f t="shared" ref="B50:B79" si="19">IF(C50&lt;=$AC$44,B49+1,0)</f>
        <v>2</v>
      </c>
      <c r="C50" s="48">
        <f>'Food-Data Entry'!L8</f>
        <v>45963</v>
      </c>
      <c r="D50" s="49" t="str">
        <f>'Food-Data Entry'!O8</f>
        <v>Holiday</v>
      </c>
      <c r="E50" s="569">
        <f t="shared" ref="E50:E79" si="20">O49</f>
        <v>304.89999999999998</v>
      </c>
      <c r="F50" s="570">
        <f t="shared" ref="F50:F79" si="21">P49</f>
        <v>227.7</v>
      </c>
      <c r="G50" s="569">
        <f>'Food-Data Entry'!AE8</f>
        <v>0</v>
      </c>
      <c r="H50" s="570">
        <f>'Food-Data Entry'!AG8</f>
        <v>0</v>
      </c>
      <c r="I50" s="569">
        <f>'Food-Data Entry'!AI8</f>
        <v>0</v>
      </c>
      <c r="J50" s="570">
        <f>'Food-Data Entry'!AK8</f>
        <v>0</v>
      </c>
      <c r="K50" s="571">
        <f t="shared" si="12"/>
        <v>304.89999999999998</v>
      </c>
      <c r="L50" s="572">
        <f t="shared" si="13"/>
        <v>227.7</v>
      </c>
      <c r="M50" s="569">
        <f>'Food-Data Entry'!AY8</f>
        <v>0</v>
      </c>
      <c r="N50" s="570">
        <f>'Food-Data Entry'!AZ8</f>
        <v>0</v>
      </c>
      <c r="O50" s="571">
        <f t="shared" si="14"/>
        <v>304.89999999999998</v>
      </c>
      <c r="P50" s="573">
        <f t="shared" si="15"/>
        <v>227.7</v>
      </c>
      <c r="Q50" s="99">
        <f>'Food-Data Entry'!U8</f>
        <v>135</v>
      </c>
      <c r="R50" s="100">
        <f>'Food-Data Entry'!V8</f>
        <v>168</v>
      </c>
      <c r="S50" s="103">
        <f t="shared" si="16"/>
        <v>303</v>
      </c>
      <c r="T50" s="99">
        <f>'Food-Data Entry'!AA8</f>
        <v>0</v>
      </c>
      <c r="U50" s="100">
        <f>'Food-Data Entry'!AB8</f>
        <v>0</v>
      </c>
      <c r="V50" s="103">
        <f t="shared" si="17"/>
        <v>0</v>
      </c>
      <c r="W50" s="99">
        <f>'Food-Data Entry'!AA8</f>
        <v>0</v>
      </c>
      <c r="X50" s="100">
        <f>'Food-Data Entry'!AB8</f>
        <v>0</v>
      </c>
      <c r="Y50" s="103">
        <f t="shared" si="18"/>
        <v>0</v>
      </c>
      <c r="Z50" s="51"/>
      <c r="AA50" s="763"/>
      <c r="AB50" s="36" t="e">
        <f>#REF!+#REF!+#REF!+#REF!</f>
        <v>#REF!</v>
      </c>
    </row>
    <row r="51" spans="1:28" s="37" customFormat="1" ht="17.25" customHeight="1">
      <c r="A51" s="776"/>
      <c r="B51" s="47">
        <f t="shared" si="19"/>
        <v>3</v>
      </c>
      <c r="C51" s="48">
        <f>'Food-Data Entry'!L9</f>
        <v>45964</v>
      </c>
      <c r="D51" s="49" t="str">
        <f>'Food-Data Entry'!O9</f>
        <v>Monday</v>
      </c>
      <c r="E51" s="569">
        <f t="shared" si="20"/>
        <v>304.89999999999998</v>
      </c>
      <c r="F51" s="570">
        <f t="shared" si="21"/>
        <v>227.7</v>
      </c>
      <c r="G51" s="569">
        <f>'Food-Data Entry'!AE9</f>
        <v>0</v>
      </c>
      <c r="H51" s="570">
        <f>'Food-Data Entry'!AG9</f>
        <v>0</v>
      </c>
      <c r="I51" s="569">
        <f>'Food-Data Entry'!AI9</f>
        <v>0</v>
      </c>
      <c r="J51" s="570">
        <f>'Food-Data Entry'!AK9</f>
        <v>0</v>
      </c>
      <c r="K51" s="571">
        <f t="shared" si="12"/>
        <v>304.89999999999998</v>
      </c>
      <c r="L51" s="572">
        <f t="shared" si="13"/>
        <v>227.7</v>
      </c>
      <c r="M51" s="569">
        <f>'Food-Data Entry'!AY9</f>
        <v>1.8</v>
      </c>
      <c r="N51" s="570">
        <f>'Food-Data Entry'!AZ9</f>
        <v>0</v>
      </c>
      <c r="O51" s="571">
        <f t="shared" si="14"/>
        <v>303.09999999999997</v>
      </c>
      <c r="P51" s="573">
        <f t="shared" si="15"/>
        <v>227.7</v>
      </c>
      <c r="Q51" s="99">
        <f>'Food-Data Entry'!U9</f>
        <v>135</v>
      </c>
      <c r="R51" s="100">
        <f>'Food-Data Entry'!V9</f>
        <v>168</v>
      </c>
      <c r="S51" s="103">
        <f t="shared" si="16"/>
        <v>303</v>
      </c>
      <c r="T51" s="99">
        <f>'Food-Data Entry'!AA9</f>
        <v>5</v>
      </c>
      <c r="U51" s="100">
        <f>'Food-Data Entry'!AB9</f>
        <v>7</v>
      </c>
      <c r="V51" s="103">
        <f t="shared" si="17"/>
        <v>12</v>
      </c>
      <c r="W51" s="99">
        <f>'Food-Data Entry'!AA9</f>
        <v>5</v>
      </c>
      <c r="X51" s="100">
        <f>'Food-Data Entry'!AB9</f>
        <v>7</v>
      </c>
      <c r="Y51" s="103">
        <f t="shared" si="18"/>
        <v>12</v>
      </c>
      <c r="Z51" s="51"/>
      <c r="AA51" s="763"/>
      <c r="AB51" s="36" t="e">
        <f>#REF!+#REF!+#REF!+#REF!</f>
        <v>#REF!</v>
      </c>
    </row>
    <row r="52" spans="1:28" s="37" customFormat="1" ht="17.25" customHeight="1">
      <c r="A52" s="776"/>
      <c r="B52" s="47">
        <f t="shared" si="19"/>
        <v>4</v>
      </c>
      <c r="C52" s="48">
        <f>'Food-Data Entry'!L10</f>
        <v>45965</v>
      </c>
      <c r="D52" s="49" t="str">
        <f>'Food-Data Entry'!O10</f>
        <v>Tuesday</v>
      </c>
      <c r="E52" s="569">
        <f t="shared" si="20"/>
        <v>303.09999999999997</v>
      </c>
      <c r="F52" s="570">
        <f t="shared" si="21"/>
        <v>227.7</v>
      </c>
      <c r="G52" s="569">
        <f>'Food-Data Entry'!AE10</f>
        <v>0</v>
      </c>
      <c r="H52" s="570">
        <f>'Food-Data Entry'!AG10</f>
        <v>0</v>
      </c>
      <c r="I52" s="569">
        <f>'Food-Data Entry'!AI10</f>
        <v>0</v>
      </c>
      <c r="J52" s="570">
        <f>'Food-Data Entry'!AK10</f>
        <v>0</v>
      </c>
      <c r="K52" s="571">
        <f t="shared" si="12"/>
        <v>303.09999999999997</v>
      </c>
      <c r="L52" s="572">
        <f t="shared" si="13"/>
        <v>227.7</v>
      </c>
      <c r="M52" s="569">
        <f>'Food-Data Entry'!AY10</f>
        <v>0</v>
      </c>
      <c r="N52" s="570">
        <f>'Food-Data Entry'!AZ10</f>
        <v>1.8</v>
      </c>
      <c r="O52" s="571">
        <f t="shared" si="14"/>
        <v>303.09999999999997</v>
      </c>
      <c r="P52" s="573">
        <f t="shared" si="15"/>
        <v>225.89999999999998</v>
      </c>
      <c r="Q52" s="99">
        <f>'Food-Data Entry'!U10</f>
        <v>135</v>
      </c>
      <c r="R52" s="100">
        <f>'Food-Data Entry'!V10</f>
        <v>168</v>
      </c>
      <c r="S52" s="103">
        <f t="shared" si="16"/>
        <v>303</v>
      </c>
      <c r="T52" s="99">
        <f>'Food-Data Entry'!AA10</f>
        <v>5</v>
      </c>
      <c r="U52" s="100">
        <f>'Food-Data Entry'!AB10</f>
        <v>7</v>
      </c>
      <c r="V52" s="103">
        <f t="shared" si="17"/>
        <v>12</v>
      </c>
      <c r="W52" s="99">
        <f>'Food-Data Entry'!AA10</f>
        <v>5</v>
      </c>
      <c r="X52" s="100">
        <f>'Food-Data Entry'!AB10</f>
        <v>7</v>
      </c>
      <c r="Y52" s="103">
        <f t="shared" si="18"/>
        <v>12</v>
      </c>
      <c r="Z52" s="51"/>
      <c r="AA52" s="763"/>
      <c r="AB52" s="36" t="e">
        <f>#REF!+#REF!+#REF!+#REF!</f>
        <v>#REF!</v>
      </c>
    </row>
    <row r="53" spans="1:28" s="37" customFormat="1" ht="17.25" customHeight="1">
      <c r="A53" s="776"/>
      <c r="B53" s="47">
        <f t="shared" si="19"/>
        <v>5</v>
      </c>
      <c r="C53" s="48">
        <f>'Food-Data Entry'!L11</f>
        <v>45966</v>
      </c>
      <c r="D53" s="49" t="str">
        <f>'Food-Data Entry'!O11</f>
        <v>Wednesday</v>
      </c>
      <c r="E53" s="569">
        <f t="shared" si="20"/>
        <v>303.09999999999997</v>
      </c>
      <c r="F53" s="570">
        <f t="shared" si="21"/>
        <v>225.89999999999998</v>
      </c>
      <c r="G53" s="569">
        <f>'Food-Data Entry'!AE11</f>
        <v>0</v>
      </c>
      <c r="H53" s="570">
        <f>'Food-Data Entry'!AG11</f>
        <v>0</v>
      </c>
      <c r="I53" s="569">
        <f>'Food-Data Entry'!AI11</f>
        <v>0</v>
      </c>
      <c r="J53" s="570">
        <f>'Food-Data Entry'!AK11</f>
        <v>0</v>
      </c>
      <c r="K53" s="571">
        <f t="shared" si="12"/>
        <v>303.09999999999997</v>
      </c>
      <c r="L53" s="572">
        <f t="shared" si="13"/>
        <v>225.89999999999998</v>
      </c>
      <c r="M53" s="569">
        <f>'Food-Data Entry'!AY11</f>
        <v>1.8</v>
      </c>
      <c r="N53" s="570">
        <f>'Food-Data Entry'!AZ11</f>
        <v>0</v>
      </c>
      <c r="O53" s="571">
        <f t="shared" si="14"/>
        <v>301.29999999999995</v>
      </c>
      <c r="P53" s="573">
        <f t="shared" si="15"/>
        <v>225.89999999999998</v>
      </c>
      <c r="Q53" s="99">
        <f>'Food-Data Entry'!U11</f>
        <v>135</v>
      </c>
      <c r="R53" s="100">
        <f>'Food-Data Entry'!V11</f>
        <v>168</v>
      </c>
      <c r="S53" s="103">
        <f t="shared" si="16"/>
        <v>303</v>
      </c>
      <c r="T53" s="99">
        <f>'Food-Data Entry'!AA11</f>
        <v>5</v>
      </c>
      <c r="U53" s="100">
        <f>'Food-Data Entry'!AB11</f>
        <v>7</v>
      </c>
      <c r="V53" s="103">
        <f t="shared" si="17"/>
        <v>12</v>
      </c>
      <c r="W53" s="99">
        <f>'Food-Data Entry'!AA11</f>
        <v>5</v>
      </c>
      <c r="X53" s="100">
        <f>'Food-Data Entry'!AB11</f>
        <v>7</v>
      </c>
      <c r="Y53" s="103">
        <f t="shared" si="18"/>
        <v>12</v>
      </c>
      <c r="Z53" s="51"/>
      <c r="AA53" s="763"/>
      <c r="AB53" s="36" t="e">
        <f>#REF!+#REF!+#REF!+#REF!</f>
        <v>#REF!</v>
      </c>
    </row>
    <row r="54" spans="1:28" s="37" customFormat="1" ht="17.25" customHeight="1">
      <c r="A54" s="776"/>
      <c r="B54" s="47">
        <f t="shared" si="19"/>
        <v>6</v>
      </c>
      <c r="C54" s="48">
        <f>'Food-Data Entry'!L12</f>
        <v>45967</v>
      </c>
      <c r="D54" s="49" t="str">
        <f>'Food-Data Entry'!O12</f>
        <v>Thursday</v>
      </c>
      <c r="E54" s="569">
        <f t="shared" si="20"/>
        <v>301.29999999999995</v>
      </c>
      <c r="F54" s="570">
        <f t="shared" si="21"/>
        <v>225.89999999999998</v>
      </c>
      <c r="G54" s="569">
        <f>'Food-Data Entry'!AE12</f>
        <v>0</v>
      </c>
      <c r="H54" s="570">
        <f>'Food-Data Entry'!AG12</f>
        <v>0</v>
      </c>
      <c r="I54" s="569">
        <f>'Food-Data Entry'!AI12</f>
        <v>0</v>
      </c>
      <c r="J54" s="570">
        <f>'Food-Data Entry'!AK12</f>
        <v>0</v>
      </c>
      <c r="K54" s="571">
        <f t="shared" si="12"/>
        <v>301.29999999999995</v>
      </c>
      <c r="L54" s="572">
        <f t="shared" si="13"/>
        <v>225.89999999999998</v>
      </c>
      <c r="M54" s="569">
        <f>'Food-Data Entry'!AY12</f>
        <v>0</v>
      </c>
      <c r="N54" s="570">
        <f>'Food-Data Entry'!AZ12</f>
        <v>1.8</v>
      </c>
      <c r="O54" s="571">
        <f t="shared" si="14"/>
        <v>301.29999999999995</v>
      </c>
      <c r="P54" s="573">
        <f t="shared" si="15"/>
        <v>224.09999999999997</v>
      </c>
      <c r="Q54" s="99">
        <f>'Food-Data Entry'!U12</f>
        <v>135</v>
      </c>
      <c r="R54" s="100">
        <f>'Food-Data Entry'!V12</f>
        <v>168</v>
      </c>
      <c r="S54" s="103">
        <f t="shared" si="16"/>
        <v>303</v>
      </c>
      <c r="T54" s="99">
        <f>'Food-Data Entry'!AA12</f>
        <v>5</v>
      </c>
      <c r="U54" s="100">
        <f>'Food-Data Entry'!AB12</f>
        <v>7</v>
      </c>
      <c r="V54" s="103">
        <f t="shared" si="17"/>
        <v>12</v>
      </c>
      <c r="W54" s="99">
        <f>'Food-Data Entry'!AA12</f>
        <v>5</v>
      </c>
      <c r="X54" s="100">
        <f>'Food-Data Entry'!AB12</f>
        <v>7</v>
      </c>
      <c r="Y54" s="103">
        <f t="shared" si="18"/>
        <v>12</v>
      </c>
      <c r="Z54" s="51"/>
      <c r="AA54" s="763"/>
      <c r="AB54" s="36" t="e">
        <f>#REF!+#REF!+#REF!+#REF!</f>
        <v>#REF!</v>
      </c>
    </row>
    <row r="55" spans="1:28" s="37" customFormat="1" ht="17.25" customHeight="1">
      <c r="A55" s="776"/>
      <c r="B55" s="47">
        <f t="shared" si="19"/>
        <v>7</v>
      </c>
      <c r="C55" s="48">
        <f>'Food-Data Entry'!L13</f>
        <v>45968</v>
      </c>
      <c r="D55" s="49" t="str">
        <f>'Food-Data Entry'!O13</f>
        <v>Friday</v>
      </c>
      <c r="E55" s="569">
        <f t="shared" si="20"/>
        <v>301.29999999999995</v>
      </c>
      <c r="F55" s="570">
        <f t="shared" si="21"/>
        <v>224.09999999999997</v>
      </c>
      <c r="G55" s="569">
        <f>'Food-Data Entry'!AE13</f>
        <v>0</v>
      </c>
      <c r="H55" s="570">
        <f>'Food-Data Entry'!AG13</f>
        <v>0</v>
      </c>
      <c r="I55" s="569">
        <f>'Food-Data Entry'!AI13</f>
        <v>0</v>
      </c>
      <c r="J55" s="570">
        <f>'Food-Data Entry'!AK13</f>
        <v>0</v>
      </c>
      <c r="K55" s="571">
        <f t="shared" si="12"/>
        <v>301.29999999999995</v>
      </c>
      <c r="L55" s="572">
        <f t="shared" si="13"/>
        <v>224.09999999999997</v>
      </c>
      <c r="M55" s="569">
        <f>'Food-Data Entry'!AY13</f>
        <v>1.8</v>
      </c>
      <c r="N55" s="570">
        <f>'Food-Data Entry'!AZ13</f>
        <v>0</v>
      </c>
      <c r="O55" s="571">
        <f t="shared" si="14"/>
        <v>299.49999999999994</v>
      </c>
      <c r="P55" s="573">
        <f t="shared" si="15"/>
        <v>224.09999999999997</v>
      </c>
      <c r="Q55" s="99">
        <f>'Food-Data Entry'!U13</f>
        <v>135</v>
      </c>
      <c r="R55" s="100">
        <f>'Food-Data Entry'!V13</f>
        <v>168</v>
      </c>
      <c r="S55" s="103">
        <f t="shared" si="16"/>
        <v>303</v>
      </c>
      <c r="T55" s="99">
        <f>'Food-Data Entry'!AA13</f>
        <v>5</v>
      </c>
      <c r="U55" s="100">
        <f>'Food-Data Entry'!AB13</f>
        <v>7</v>
      </c>
      <c r="V55" s="103">
        <f t="shared" si="17"/>
        <v>12</v>
      </c>
      <c r="W55" s="99">
        <f>'Food-Data Entry'!AA13</f>
        <v>5</v>
      </c>
      <c r="X55" s="100">
        <f>'Food-Data Entry'!AB13</f>
        <v>7</v>
      </c>
      <c r="Y55" s="103">
        <f t="shared" si="18"/>
        <v>12</v>
      </c>
      <c r="Z55" s="51"/>
      <c r="AA55" s="763"/>
      <c r="AB55" s="36" t="e">
        <f>#REF!+#REF!+#REF!+#REF!</f>
        <v>#REF!</v>
      </c>
    </row>
    <row r="56" spans="1:28" s="37" customFormat="1" ht="17.25" customHeight="1">
      <c r="A56" s="776"/>
      <c r="B56" s="47">
        <f t="shared" si="19"/>
        <v>8</v>
      </c>
      <c r="C56" s="48">
        <f>'Food-Data Entry'!L14</f>
        <v>45969</v>
      </c>
      <c r="D56" s="49" t="str">
        <f>'Food-Data Entry'!O14</f>
        <v>Saturday</v>
      </c>
      <c r="E56" s="569">
        <f t="shared" si="20"/>
        <v>299.49999999999994</v>
      </c>
      <c r="F56" s="570">
        <f t="shared" si="21"/>
        <v>224.09999999999997</v>
      </c>
      <c r="G56" s="569">
        <f>'Food-Data Entry'!AE14</f>
        <v>0</v>
      </c>
      <c r="H56" s="570">
        <f>'Food-Data Entry'!AG14</f>
        <v>0</v>
      </c>
      <c r="I56" s="569">
        <f>'Food-Data Entry'!AI14</f>
        <v>0</v>
      </c>
      <c r="J56" s="570">
        <f>'Food-Data Entry'!AK14</f>
        <v>0</v>
      </c>
      <c r="K56" s="571">
        <f t="shared" si="12"/>
        <v>299.49999999999994</v>
      </c>
      <c r="L56" s="572">
        <f t="shared" si="13"/>
        <v>224.09999999999997</v>
      </c>
      <c r="M56" s="569">
        <f>'Food-Data Entry'!AY14</f>
        <v>1.8</v>
      </c>
      <c r="N56" s="570">
        <f>'Food-Data Entry'!AZ14</f>
        <v>0</v>
      </c>
      <c r="O56" s="571">
        <f t="shared" si="14"/>
        <v>297.69999999999993</v>
      </c>
      <c r="P56" s="573">
        <f t="shared" si="15"/>
        <v>224.09999999999997</v>
      </c>
      <c r="Q56" s="99">
        <f>'Food-Data Entry'!U14</f>
        <v>135</v>
      </c>
      <c r="R56" s="100">
        <f>'Food-Data Entry'!V14</f>
        <v>168</v>
      </c>
      <c r="S56" s="103">
        <f t="shared" si="16"/>
        <v>303</v>
      </c>
      <c r="T56" s="99">
        <f>'Food-Data Entry'!AA14</f>
        <v>5</v>
      </c>
      <c r="U56" s="100">
        <f>'Food-Data Entry'!AB14</f>
        <v>7</v>
      </c>
      <c r="V56" s="103">
        <f t="shared" si="17"/>
        <v>12</v>
      </c>
      <c r="W56" s="99">
        <f>'Food-Data Entry'!AA14</f>
        <v>5</v>
      </c>
      <c r="X56" s="100">
        <f>'Food-Data Entry'!AB14</f>
        <v>7</v>
      </c>
      <c r="Y56" s="103">
        <f t="shared" si="18"/>
        <v>12</v>
      </c>
      <c r="Z56" s="51"/>
      <c r="AA56" s="763"/>
      <c r="AB56" s="36" t="e">
        <f>#REF!+#REF!+#REF!+#REF!</f>
        <v>#REF!</v>
      </c>
    </row>
    <row r="57" spans="1:28" s="37" customFormat="1" ht="17.25" customHeight="1">
      <c r="A57" s="776"/>
      <c r="B57" s="47">
        <f t="shared" si="19"/>
        <v>9</v>
      </c>
      <c r="C57" s="48">
        <f>'Food-Data Entry'!L15</f>
        <v>45970</v>
      </c>
      <c r="D57" s="49" t="str">
        <f>'Food-Data Entry'!O15</f>
        <v>Holiday</v>
      </c>
      <c r="E57" s="569">
        <f t="shared" si="20"/>
        <v>297.69999999999993</v>
      </c>
      <c r="F57" s="570">
        <f t="shared" si="21"/>
        <v>224.09999999999997</v>
      </c>
      <c r="G57" s="569">
        <f>'Food-Data Entry'!AE15</f>
        <v>0</v>
      </c>
      <c r="H57" s="570">
        <f>'Food-Data Entry'!AG15</f>
        <v>0</v>
      </c>
      <c r="I57" s="569">
        <f>'Food-Data Entry'!AI15</f>
        <v>0</v>
      </c>
      <c r="J57" s="570">
        <f>'Food-Data Entry'!AK15</f>
        <v>0</v>
      </c>
      <c r="K57" s="571">
        <f t="shared" si="12"/>
        <v>297.69999999999993</v>
      </c>
      <c r="L57" s="572">
        <f t="shared" si="13"/>
        <v>224.09999999999997</v>
      </c>
      <c r="M57" s="569">
        <f>'Food-Data Entry'!AY15</f>
        <v>0</v>
      </c>
      <c r="N57" s="570">
        <f>'Food-Data Entry'!AZ15</f>
        <v>0</v>
      </c>
      <c r="O57" s="571">
        <f t="shared" si="14"/>
        <v>297.69999999999993</v>
      </c>
      <c r="P57" s="573">
        <f t="shared" si="15"/>
        <v>224.09999999999997</v>
      </c>
      <c r="Q57" s="99">
        <f>'Food-Data Entry'!U15</f>
        <v>135</v>
      </c>
      <c r="R57" s="100">
        <f>'Food-Data Entry'!V15</f>
        <v>168</v>
      </c>
      <c r="S57" s="103">
        <f t="shared" si="16"/>
        <v>303</v>
      </c>
      <c r="T57" s="99">
        <f>'Food-Data Entry'!AA15</f>
        <v>0</v>
      </c>
      <c r="U57" s="100">
        <f>'Food-Data Entry'!AB15</f>
        <v>0</v>
      </c>
      <c r="V57" s="103">
        <f t="shared" si="17"/>
        <v>0</v>
      </c>
      <c r="W57" s="99">
        <f>'Food-Data Entry'!AA15</f>
        <v>0</v>
      </c>
      <c r="X57" s="100">
        <f>'Food-Data Entry'!AB15</f>
        <v>0</v>
      </c>
      <c r="Y57" s="103">
        <f t="shared" si="18"/>
        <v>0</v>
      </c>
      <c r="Z57" s="51"/>
      <c r="AA57" s="763"/>
      <c r="AB57" s="36" t="e">
        <f>#REF!+#REF!+#REF!+#REF!</f>
        <v>#REF!</v>
      </c>
    </row>
    <row r="58" spans="1:28" s="37" customFormat="1" ht="17.25" customHeight="1">
      <c r="A58" s="776"/>
      <c r="B58" s="47">
        <f t="shared" si="19"/>
        <v>10</v>
      </c>
      <c r="C58" s="48">
        <f>'Food-Data Entry'!L16</f>
        <v>45971</v>
      </c>
      <c r="D58" s="49" t="str">
        <f>'Food-Data Entry'!O16</f>
        <v>Monday</v>
      </c>
      <c r="E58" s="569">
        <f t="shared" si="20"/>
        <v>297.69999999999993</v>
      </c>
      <c r="F58" s="570">
        <f t="shared" si="21"/>
        <v>224.09999999999997</v>
      </c>
      <c r="G58" s="569">
        <f>'Food-Data Entry'!AE16</f>
        <v>0</v>
      </c>
      <c r="H58" s="570">
        <f>'Food-Data Entry'!AG16</f>
        <v>0</v>
      </c>
      <c r="I58" s="569">
        <f>'Food-Data Entry'!AI16</f>
        <v>0</v>
      </c>
      <c r="J58" s="570">
        <f>'Food-Data Entry'!AK16</f>
        <v>0</v>
      </c>
      <c r="K58" s="571">
        <f t="shared" si="12"/>
        <v>297.69999999999993</v>
      </c>
      <c r="L58" s="572">
        <f t="shared" si="13"/>
        <v>224.09999999999997</v>
      </c>
      <c r="M58" s="569">
        <f>'Food-Data Entry'!AY16</f>
        <v>1.8</v>
      </c>
      <c r="N58" s="570">
        <f>'Food-Data Entry'!AZ16</f>
        <v>0</v>
      </c>
      <c r="O58" s="571">
        <f t="shared" si="14"/>
        <v>295.89999999999992</v>
      </c>
      <c r="P58" s="573">
        <f t="shared" si="15"/>
        <v>224.09999999999997</v>
      </c>
      <c r="Q58" s="99">
        <f>'Food-Data Entry'!U16</f>
        <v>135</v>
      </c>
      <c r="R58" s="100">
        <f>'Food-Data Entry'!V16</f>
        <v>168</v>
      </c>
      <c r="S58" s="103">
        <f t="shared" si="16"/>
        <v>303</v>
      </c>
      <c r="T58" s="99">
        <f>'Food-Data Entry'!AA16</f>
        <v>5</v>
      </c>
      <c r="U58" s="100">
        <f>'Food-Data Entry'!AB16</f>
        <v>7</v>
      </c>
      <c r="V58" s="103">
        <f t="shared" si="17"/>
        <v>12</v>
      </c>
      <c r="W58" s="99">
        <f>'Food-Data Entry'!AA16</f>
        <v>5</v>
      </c>
      <c r="X58" s="100">
        <f>'Food-Data Entry'!AB16</f>
        <v>7</v>
      </c>
      <c r="Y58" s="103">
        <f t="shared" si="18"/>
        <v>12</v>
      </c>
      <c r="Z58" s="51"/>
      <c r="AA58" s="763"/>
      <c r="AB58" s="36" t="e">
        <f>#REF!+#REF!+#REF!+#REF!</f>
        <v>#REF!</v>
      </c>
    </row>
    <row r="59" spans="1:28" s="37" customFormat="1" ht="17.25" customHeight="1">
      <c r="A59" s="776"/>
      <c r="B59" s="47">
        <f t="shared" si="19"/>
        <v>11</v>
      </c>
      <c r="C59" s="48">
        <f>'Food-Data Entry'!L17</f>
        <v>45972</v>
      </c>
      <c r="D59" s="49" t="str">
        <f>'Food-Data Entry'!O17</f>
        <v>Tuesday</v>
      </c>
      <c r="E59" s="569">
        <f t="shared" si="20"/>
        <v>295.89999999999992</v>
      </c>
      <c r="F59" s="570">
        <f t="shared" si="21"/>
        <v>224.09999999999997</v>
      </c>
      <c r="G59" s="569">
        <f>'Food-Data Entry'!AE17</f>
        <v>0</v>
      </c>
      <c r="H59" s="570">
        <f>'Food-Data Entry'!AG17</f>
        <v>0</v>
      </c>
      <c r="I59" s="569">
        <f>'Food-Data Entry'!AI17</f>
        <v>0</v>
      </c>
      <c r="J59" s="570">
        <f>'Food-Data Entry'!AK17</f>
        <v>0</v>
      </c>
      <c r="K59" s="571">
        <f t="shared" si="12"/>
        <v>295.89999999999992</v>
      </c>
      <c r="L59" s="572">
        <f t="shared" si="13"/>
        <v>224.09999999999997</v>
      </c>
      <c r="M59" s="569">
        <f>'Food-Data Entry'!AY17</f>
        <v>0</v>
      </c>
      <c r="N59" s="570">
        <f>'Food-Data Entry'!AZ17</f>
        <v>1.8</v>
      </c>
      <c r="O59" s="571">
        <f t="shared" si="14"/>
        <v>295.89999999999992</v>
      </c>
      <c r="P59" s="573">
        <f t="shared" si="15"/>
        <v>222.29999999999995</v>
      </c>
      <c r="Q59" s="99">
        <f>'Food-Data Entry'!U17</f>
        <v>135</v>
      </c>
      <c r="R59" s="100">
        <f>'Food-Data Entry'!V17</f>
        <v>168</v>
      </c>
      <c r="S59" s="103">
        <f t="shared" si="16"/>
        <v>303</v>
      </c>
      <c r="T59" s="99">
        <f>'Food-Data Entry'!AA17</f>
        <v>5</v>
      </c>
      <c r="U59" s="100">
        <f>'Food-Data Entry'!AB17</f>
        <v>7</v>
      </c>
      <c r="V59" s="103">
        <f t="shared" si="17"/>
        <v>12</v>
      </c>
      <c r="W59" s="99">
        <f>'Food-Data Entry'!AA17</f>
        <v>5</v>
      </c>
      <c r="X59" s="100">
        <f>'Food-Data Entry'!AB17</f>
        <v>7</v>
      </c>
      <c r="Y59" s="103">
        <f t="shared" si="18"/>
        <v>12</v>
      </c>
      <c r="Z59" s="51"/>
      <c r="AA59" s="763"/>
      <c r="AB59" s="36" t="e">
        <f>#REF!+#REF!+#REF!+#REF!</f>
        <v>#REF!</v>
      </c>
    </row>
    <row r="60" spans="1:28" s="37" customFormat="1" ht="17.25" customHeight="1">
      <c r="A60" s="776"/>
      <c r="B60" s="47">
        <f t="shared" si="19"/>
        <v>12</v>
      </c>
      <c r="C60" s="48">
        <f>'Food-Data Entry'!L18</f>
        <v>45973</v>
      </c>
      <c r="D60" s="49" t="str">
        <f>'Food-Data Entry'!O18</f>
        <v>Wednesday</v>
      </c>
      <c r="E60" s="569">
        <f t="shared" si="20"/>
        <v>295.89999999999992</v>
      </c>
      <c r="F60" s="570">
        <f t="shared" si="21"/>
        <v>222.29999999999995</v>
      </c>
      <c r="G60" s="569">
        <f>'Food-Data Entry'!AE18</f>
        <v>0</v>
      </c>
      <c r="H60" s="570">
        <f>'Food-Data Entry'!AG18</f>
        <v>0</v>
      </c>
      <c r="I60" s="569">
        <f>'Food-Data Entry'!AI18</f>
        <v>0</v>
      </c>
      <c r="J60" s="570">
        <f>'Food-Data Entry'!AK18</f>
        <v>0</v>
      </c>
      <c r="K60" s="571">
        <f t="shared" si="12"/>
        <v>295.89999999999992</v>
      </c>
      <c r="L60" s="572">
        <f t="shared" si="13"/>
        <v>222.29999999999995</v>
      </c>
      <c r="M60" s="569">
        <f>'Food-Data Entry'!AY18</f>
        <v>1.8</v>
      </c>
      <c r="N60" s="570">
        <f>'Food-Data Entry'!AZ18</f>
        <v>0</v>
      </c>
      <c r="O60" s="571">
        <f t="shared" si="14"/>
        <v>294.09999999999991</v>
      </c>
      <c r="P60" s="573">
        <f t="shared" si="15"/>
        <v>222.29999999999995</v>
      </c>
      <c r="Q60" s="99">
        <f>'Food-Data Entry'!U18</f>
        <v>135</v>
      </c>
      <c r="R60" s="100">
        <f>'Food-Data Entry'!V18</f>
        <v>168</v>
      </c>
      <c r="S60" s="103">
        <f t="shared" si="16"/>
        <v>303</v>
      </c>
      <c r="T60" s="99">
        <f>'Food-Data Entry'!AA18</f>
        <v>5</v>
      </c>
      <c r="U60" s="100">
        <f>'Food-Data Entry'!AB18</f>
        <v>7</v>
      </c>
      <c r="V60" s="103">
        <f t="shared" si="17"/>
        <v>12</v>
      </c>
      <c r="W60" s="99">
        <f>'Food-Data Entry'!AA18</f>
        <v>5</v>
      </c>
      <c r="X60" s="100">
        <f>'Food-Data Entry'!AB18</f>
        <v>7</v>
      </c>
      <c r="Y60" s="103">
        <f t="shared" si="18"/>
        <v>12</v>
      </c>
      <c r="Z60" s="51"/>
      <c r="AA60" s="763"/>
      <c r="AB60" s="36" t="e">
        <f>#REF!+#REF!+#REF!+#REF!</f>
        <v>#REF!</v>
      </c>
    </row>
    <row r="61" spans="1:28" s="37" customFormat="1" ht="17.25" customHeight="1">
      <c r="A61" s="776"/>
      <c r="B61" s="47">
        <f t="shared" si="19"/>
        <v>13</v>
      </c>
      <c r="C61" s="48">
        <f>'Food-Data Entry'!L19</f>
        <v>45974</v>
      </c>
      <c r="D61" s="49" t="str">
        <f>'Food-Data Entry'!O19</f>
        <v>Thursday</v>
      </c>
      <c r="E61" s="569">
        <f t="shared" si="20"/>
        <v>294.09999999999991</v>
      </c>
      <c r="F61" s="570">
        <f t="shared" si="21"/>
        <v>222.29999999999995</v>
      </c>
      <c r="G61" s="569">
        <f>'Food-Data Entry'!AE19</f>
        <v>0</v>
      </c>
      <c r="H61" s="570">
        <f>'Food-Data Entry'!AG19</f>
        <v>0</v>
      </c>
      <c r="I61" s="569">
        <f>'Food-Data Entry'!AI19</f>
        <v>0</v>
      </c>
      <c r="J61" s="570">
        <f>'Food-Data Entry'!AK19</f>
        <v>0</v>
      </c>
      <c r="K61" s="571">
        <f t="shared" si="12"/>
        <v>294.09999999999991</v>
      </c>
      <c r="L61" s="572">
        <f t="shared" si="13"/>
        <v>222.29999999999995</v>
      </c>
      <c r="M61" s="569">
        <f>'Food-Data Entry'!AY19</f>
        <v>0</v>
      </c>
      <c r="N61" s="570">
        <f>'Food-Data Entry'!AZ19</f>
        <v>1.8</v>
      </c>
      <c r="O61" s="571">
        <f t="shared" si="14"/>
        <v>294.09999999999991</v>
      </c>
      <c r="P61" s="573">
        <f t="shared" si="15"/>
        <v>220.49999999999994</v>
      </c>
      <c r="Q61" s="99">
        <f>'Food-Data Entry'!U19</f>
        <v>135</v>
      </c>
      <c r="R61" s="100">
        <f>'Food-Data Entry'!V19</f>
        <v>168</v>
      </c>
      <c r="S61" s="103">
        <f t="shared" si="16"/>
        <v>303</v>
      </c>
      <c r="T61" s="99">
        <f>'Food-Data Entry'!AA19</f>
        <v>5</v>
      </c>
      <c r="U61" s="100">
        <f>'Food-Data Entry'!AB19</f>
        <v>7</v>
      </c>
      <c r="V61" s="103">
        <f t="shared" si="17"/>
        <v>12</v>
      </c>
      <c r="W61" s="99">
        <f>'Food-Data Entry'!AA19</f>
        <v>5</v>
      </c>
      <c r="X61" s="100">
        <f>'Food-Data Entry'!AB19</f>
        <v>7</v>
      </c>
      <c r="Y61" s="103">
        <f t="shared" si="18"/>
        <v>12</v>
      </c>
      <c r="Z61" s="51"/>
      <c r="AA61" s="763"/>
      <c r="AB61" s="36" t="e">
        <f>#REF!+#REF!+#REF!+#REF!</f>
        <v>#REF!</v>
      </c>
    </row>
    <row r="62" spans="1:28" s="37" customFormat="1" ht="17.25" customHeight="1">
      <c r="A62" s="776"/>
      <c r="B62" s="47">
        <f t="shared" si="19"/>
        <v>14</v>
      </c>
      <c r="C62" s="48">
        <f>'Food-Data Entry'!L20</f>
        <v>45975</v>
      </c>
      <c r="D62" s="49" t="str">
        <f>'Food-Data Entry'!O20</f>
        <v>Friday</v>
      </c>
      <c r="E62" s="569">
        <f t="shared" si="20"/>
        <v>294.09999999999991</v>
      </c>
      <c r="F62" s="570">
        <f t="shared" si="21"/>
        <v>220.49999999999994</v>
      </c>
      <c r="G62" s="569">
        <f>'Food-Data Entry'!AE20</f>
        <v>0</v>
      </c>
      <c r="H62" s="570">
        <f>'Food-Data Entry'!AG20</f>
        <v>0</v>
      </c>
      <c r="I62" s="569">
        <f>'Food-Data Entry'!AI20</f>
        <v>0</v>
      </c>
      <c r="J62" s="570">
        <f>'Food-Data Entry'!AK20</f>
        <v>0</v>
      </c>
      <c r="K62" s="571">
        <f t="shared" si="12"/>
        <v>294.09999999999991</v>
      </c>
      <c r="L62" s="572">
        <f t="shared" si="13"/>
        <v>220.49999999999994</v>
      </c>
      <c r="M62" s="569">
        <f>'Food-Data Entry'!AY20</f>
        <v>1.8</v>
      </c>
      <c r="N62" s="570">
        <f>'Food-Data Entry'!AZ20</f>
        <v>0</v>
      </c>
      <c r="O62" s="571">
        <f t="shared" si="14"/>
        <v>292.2999999999999</v>
      </c>
      <c r="P62" s="573">
        <f t="shared" si="15"/>
        <v>220.49999999999994</v>
      </c>
      <c r="Q62" s="99">
        <f>'Food-Data Entry'!U20</f>
        <v>135</v>
      </c>
      <c r="R62" s="100">
        <f>'Food-Data Entry'!V20</f>
        <v>168</v>
      </c>
      <c r="S62" s="103">
        <f t="shared" si="16"/>
        <v>303</v>
      </c>
      <c r="T62" s="99">
        <f>'Food-Data Entry'!AA20</f>
        <v>5</v>
      </c>
      <c r="U62" s="100">
        <f>'Food-Data Entry'!AB20</f>
        <v>7</v>
      </c>
      <c r="V62" s="103">
        <f t="shared" si="17"/>
        <v>12</v>
      </c>
      <c r="W62" s="99">
        <f>'Food-Data Entry'!AA20</f>
        <v>5</v>
      </c>
      <c r="X62" s="100">
        <f>'Food-Data Entry'!AB20</f>
        <v>7</v>
      </c>
      <c r="Y62" s="103">
        <f t="shared" si="18"/>
        <v>12</v>
      </c>
      <c r="Z62" s="51"/>
      <c r="AA62" s="763"/>
      <c r="AB62" s="36" t="e">
        <f>#REF!+#REF!+#REF!+#REF!</f>
        <v>#REF!</v>
      </c>
    </row>
    <row r="63" spans="1:28" s="37" customFormat="1" ht="17.25" customHeight="1">
      <c r="A63" s="776"/>
      <c r="B63" s="47">
        <f t="shared" si="19"/>
        <v>15</v>
      </c>
      <c r="C63" s="48">
        <f>'Food-Data Entry'!L21</f>
        <v>45976</v>
      </c>
      <c r="D63" s="49" t="str">
        <f>'Food-Data Entry'!O21</f>
        <v>Saturday</v>
      </c>
      <c r="E63" s="569">
        <f t="shared" si="20"/>
        <v>292.2999999999999</v>
      </c>
      <c r="F63" s="570">
        <f t="shared" si="21"/>
        <v>220.49999999999994</v>
      </c>
      <c r="G63" s="569">
        <f>'Food-Data Entry'!AE21</f>
        <v>0</v>
      </c>
      <c r="H63" s="570">
        <f>'Food-Data Entry'!AG21</f>
        <v>0</v>
      </c>
      <c r="I63" s="569">
        <f>'Food-Data Entry'!AI21</f>
        <v>0</v>
      </c>
      <c r="J63" s="570">
        <f>'Food-Data Entry'!AK21</f>
        <v>0</v>
      </c>
      <c r="K63" s="571">
        <f t="shared" si="12"/>
        <v>292.2999999999999</v>
      </c>
      <c r="L63" s="572">
        <f t="shared" si="13"/>
        <v>220.49999999999994</v>
      </c>
      <c r="M63" s="569">
        <f>'Food-Data Entry'!AY21</f>
        <v>1.8</v>
      </c>
      <c r="N63" s="570">
        <f>'Food-Data Entry'!AZ21</f>
        <v>0</v>
      </c>
      <c r="O63" s="571">
        <f t="shared" si="14"/>
        <v>290.49999999999989</v>
      </c>
      <c r="P63" s="573">
        <f t="shared" si="15"/>
        <v>220.49999999999994</v>
      </c>
      <c r="Q63" s="99">
        <f>'Food-Data Entry'!U21</f>
        <v>135</v>
      </c>
      <c r="R63" s="100">
        <f>'Food-Data Entry'!V21</f>
        <v>168</v>
      </c>
      <c r="S63" s="103">
        <f t="shared" si="16"/>
        <v>303</v>
      </c>
      <c r="T63" s="99">
        <f>'Food-Data Entry'!AA21</f>
        <v>5</v>
      </c>
      <c r="U63" s="100">
        <f>'Food-Data Entry'!AB21</f>
        <v>7</v>
      </c>
      <c r="V63" s="103">
        <f t="shared" si="17"/>
        <v>12</v>
      </c>
      <c r="W63" s="99">
        <f>'Food-Data Entry'!AA21</f>
        <v>5</v>
      </c>
      <c r="X63" s="100">
        <f>'Food-Data Entry'!AB21</f>
        <v>7</v>
      </c>
      <c r="Y63" s="103">
        <f t="shared" si="18"/>
        <v>12</v>
      </c>
      <c r="Z63" s="51"/>
      <c r="AA63" s="763"/>
      <c r="AB63" s="36" t="e">
        <f>#REF!+#REF!+#REF!+#REF!</f>
        <v>#REF!</v>
      </c>
    </row>
    <row r="64" spans="1:28" s="37" customFormat="1" ht="17.25" customHeight="1">
      <c r="A64" s="776"/>
      <c r="B64" s="47">
        <f t="shared" si="19"/>
        <v>16</v>
      </c>
      <c r="C64" s="48">
        <f>'Food-Data Entry'!L22</f>
        <v>45977</v>
      </c>
      <c r="D64" s="49" t="str">
        <f>'Food-Data Entry'!O22</f>
        <v>Holiday</v>
      </c>
      <c r="E64" s="569">
        <f t="shared" si="20"/>
        <v>290.49999999999989</v>
      </c>
      <c r="F64" s="570">
        <f t="shared" si="21"/>
        <v>220.49999999999994</v>
      </c>
      <c r="G64" s="569">
        <f>'Food-Data Entry'!AE22</f>
        <v>0</v>
      </c>
      <c r="H64" s="570">
        <f>'Food-Data Entry'!AG22</f>
        <v>0</v>
      </c>
      <c r="I64" s="569">
        <f>'Food-Data Entry'!AI22</f>
        <v>0</v>
      </c>
      <c r="J64" s="570">
        <f>'Food-Data Entry'!AK22</f>
        <v>0</v>
      </c>
      <c r="K64" s="571">
        <f t="shared" si="12"/>
        <v>290.49999999999989</v>
      </c>
      <c r="L64" s="572">
        <f t="shared" si="13"/>
        <v>220.49999999999994</v>
      </c>
      <c r="M64" s="569">
        <f>'Food-Data Entry'!AY22</f>
        <v>0</v>
      </c>
      <c r="N64" s="570">
        <f>'Food-Data Entry'!AZ22</f>
        <v>0</v>
      </c>
      <c r="O64" s="571">
        <f t="shared" si="14"/>
        <v>290.49999999999989</v>
      </c>
      <c r="P64" s="573">
        <f t="shared" si="15"/>
        <v>220.49999999999994</v>
      </c>
      <c r="Q64" s="99">
        <f>'Food-Data Entry'!U22</f>
        <v>135</v>
      </c>
      <c r="R64" s="100">
        <f>'Food-Data Entry'!V22</f>
        <v>168</v>
      </c>
      <c r="S64" s="103">
        <f t="shared" si="16"/>
        <v>303</v>
      </c>
      <c r="T64" s="99">
        <f>'Food-Data Entry'!AA22</f>
        <v>0</v>
      </c>
      <c r="U64" s="100">
        <f>'Food-Data Entry'!AB22</f>
        <v>0</v>
      </c>
      <c r="V64" s="103">
        <f t="shared" si="17"/>
        <v>0</v>
      </c>
      <c r="W64" s="99">
        <f>'Food-Data Entry'!AA22</f>
        <v>0</v>
      </c>
      <c r="X64" s="100">
        <f>'Food-Data Entry'!AB22</f>
        <v>0</v>
      </c>
      <c r="Y64" s="103">
        <f t="shared" si="18"/>
        <v>0</v>
      </c>
      <c r="Z64" s="51"/>
      <c r="AA64" s="763"/>
      <c r="AB64" s="36" t="e">
        <f>#REF!+#REF!+#REF!+#REF!</f>
        <v>#REF!</v>
      </c>
    </row>
    <row r="65" spans="1:28" s="37" customFormat="1" ht="17.25" customHeight="1">
      <c r="A65" s="776"/>
      <c r="B65" s="47">
        <f t="shared" si="19"/>
        <v>17</v>
      </c>
      <c r="C65" s="48">
        <f>'Food-Data Entry'!L23</f>
        <v>45978</v>
      </c>
      <c r="D65" s="49" t="str">
        <f>'Food-Data Entry'!O23</f>
        <v>Monday</v>
      </c>
      <c r="E65" s="569">
        <f t="shared" si="20"/>
        <v>290.49999999999989</v>
      </c>
      <c r="F65" s="570">
        <f t="shared" si="21"/>
        <v>220.49999999999994</v>
      </c>
      <c r="G65" s="569">
        <f>'Food-Data Entry'!AE23</f>
        <v>0</v>
      </c>
      <c r="H65" s="570">
        <f>'Food-Data Entry'!AG23</f>
        <v>0</v>
      </c>
      <c r="I65" s="569">
        <f>'Food-Data Entry'!AI23</f>
        <v>0</v>
      </c>
      <c r="J65" s="570">
        <f>'Food-Data Entry'!AK23</f>
        <v>0</v>
      </c>
      <c r="K65" s="571">
        <f t="shared" si="12"/>
        <v>290.49999999999989</v>
      </c>
      <c r="L65" s="572">
        <f t="shared" si="13"/>
        <v>220.49999999999994</v>
      </c>
      <c r="M65" s="569">
        <f>'Food-Data Entry'!AY23</f>
        <v>1.8</v>
      </c>
      <c r="N65" s="570">
        <f>'Food-Data Entry'!AZ23</f>
        <v>0</v>
      </c>
      <c r="O65" s="571">
        <f t="shared" si="14"/>
        <v>288.69999999999987</v>
      </c>
      <c r="P65" s="573">
        <f t="shared" si="15"/>
        <v>220.49999999999994</v>
      </c>
      <c r="Q65" s="99">
        <f>'Food-Data Entry'!U23</f>
        <v>135</v>
      </c>
      <c r="R65" s="100">
        <f>'Food-Data Entry'!V23</f>
        <v>168</v>
      </c>
      <c r="S65" s="103">
        <f t="shared" si="16"/>
        <v>303</v>
      </c>
      <c r="T65" s="99">
        <f>'Food-Data Entry'!AA23</f>
        <v>5</v>
      </c>
      <c r="U65" s="100">
        <f>'Food-Data Entry'!AB23</f>
        <v>7</v>
      </c>
      <c r="V65" s="103">
        <f t="shared" si="17"/>
        <v>12</v>
      </c>
      <c r="W65" s="99">
        <f>'Food-Data Entry'!AA23</f>
        <v>5</v>
      </c>
      <c r="X65" s="100">
        <f>'Food-Data Entry'!AB23</f>
        <v>7</v>
      </c>
      <c r="Y65" s="103">
        <f t="shared" si="18"/>
        <v>12</v>
      </c>
      <c r="Z65" s="51"/>
      <c r="AA65" s="763"/>
      <c r="AB65" s="36" t="e">
        <f>#REF!+#REF!+#REF!+#REF!</f>
        <v>#REF!</v>
      </c>
    </row>
    <row r="66" spans="1:28" s="37" customFormat="1" ht="17.25" customHeight="1">
      <c r="A66" s="776"/>
      <c r="B66" s="47">
        <f t="shared" si="19"/>
        <v>18</v>
      </c>
      <c r="C66" s="48">
        <f>'Food-Data Entry'!L24</f>
        <v>45979</v>
      </c>
      <c r="D66" s="49" t="str">
        <f>'Food-Data Entry'!O24</f>
        <v>Tuesday</v>
      </c>
      <c r="E66" s="569">
        <f t="shared" si="20"/>
        <v>288.69999999999987</v>
      </c>
      <c r="F66" s="570">
        <f t="shared" si="21"/>
        <v>220.49999999999994</v>
      </c>
      <c r="G66" s="569">
        <f>'Food-Data Entry'!AE24</f>
        <v>0</v>
      </c>
      <c r="H66" s="570">
        <f>'Food-Data Entry'!AG24</f>
        <v>0</v>
      </c>
      <c r="I66" s="569">
        <f>'Food-Data Entry'!AI24</f>
        <v>0</v>
      </c>
      <c r="J66" s="570">
        <f>'Food-Data Entry'!AK24</f>
        <v>0</v>
      </c>
      <c r="K66" s="571">
        <f t="shared" si="12"/>
        <v>288.69999999999987</v>
      </c>
      <c r="L66" s="572">
        <f t="shared" si="13"/>
        <v>220.49999999999994</v>
      </c>
      <c r="M66" s="569">
        <f>'Food-Data Entry'!AY24</f>
        <v>0</v>
      </c>
      <c r="N66" s="570">
        <f>'Food-Data Entry'!AZ24</f>
        <v>1.8</v>
      </c>
      <c r="O66" s="571">
        <f t="shared" si="14"/>
        <v>288.69999999999987</v>
      </c>
      <c r="P66" s="573">
        <f t="shared" si="15"/>
        <v>218.69999999999993</v>
      </c>
      <c r="Q66" s="99">
        <f>'Food-Data Entry'!U24</f>
        <v>135</v>
      </c>
      <c r="R66" s="100">
        <f>'Food-Data Entry'!V24</f>
        <v>168</v>
      </c>
      <c r="S66" s="103">
        <f t="shared" si="16"/>
        <v>303</v>
      </c>
      <c r="T66" s="99">
        <f>'Food-Data Entry'!AA24</f>
        <v>5</v>
      </c>
      <c r="U66" s="100">
        <f>'Food-Data Entry'!AB24</f>
        <v>7</v>
      </c>
      <c r="V66" s="103">
        <f t="shared" si="17"/>
        <v>12</v>
      </c>
      <c r="W66" s="99">
        <f>'Food-Data Entry'!AA24</f>
        <v>5</v>
      </c>
      <c r="X66" s="100">
        <f>'Food-Data Entry'!AB24</f>
        <v>7</v>
      </c>
      <c r="Y66" s="103">
        <f t="shared" si="18"/>
        <v>12</v>
      </c>
      <c r="Z66" s="51"/>
      <c r="AA66" s="763"/>
      <c r="AB66" s="36" t="e">
        <f>#REF!+#REF!+#REF!+#REF!</f>
        <v>#REF!</v>
      </c>
    </row>
    <row r="67" spans="1:28" s="37" customFormat="1" ht="17.25" customHeight="1">
      <c r="A67" s="776"/>
      <c r="B67" s="47">
        <f t="shared" si="19"/>
        <v>19</v>
      </c>
      <c r="C67" s="48">
        <f>'Food-Data Entry'!L25</f>
        <v>45980</v>
      </c>
      <c r="D67" s="49" t="str">
        <f>'Food-Data Entry'!O25</f>
        <v>Wednesday</v>
      </c>
      <c r="E67" s="569">
        <f t="shared" si="20"/>
        <v>288.69999999999987</v>
      </c>
      <c r="F67" s="570">
        <f t="shared" si="21"/>
        <v>218.69999999999993</v>
      </c>
      <c r="G67" s="569">
        <f>'Food-Data Entry'!AE25</f>
        <v>0</v>
      </c>
      <c r="H67" s="570">
        <f>'Food-Data Entry'!AG25</f>
        <v>0</v>
      </c>
      <c r="I67" s="569">
        <f>'Food-Data Entry'!AI25</f>
        <v>0</v>
      </c>
      <c r="J67" s="570">
        <f>'Food-Data Entry'!AK25</f>
        <v>0</v>
      </c>
      <c r="K67" s="571">
        <f t="shared" si="12"/>
        <v>288.69999999999987</v>
      </c>
      <c r="L67" s="572">
        <f t="shared" si="13"/>
        <v>218.69999999999993</v>
      </c>
      <c r="M67" s="569">
        <f>'Food-Data Entry'!AY25</f>
        <v>1.8</v>
      </c>
      <c r="N67" s="570">
        <f>'Food-Data Entry'!AZ25</f>
        <v>0</v>
      </c>
      <c r="O67" s="571">
        <f t="shared" si="14"/>
        <v>286.89999999999986</v>
      </c>
      <c r="P67" s="573">
        <f t="shared" si="15"/>
        <v>218.69999999999993</v>
      </c>
      <c r="Q67" s="99">
        <f>'Food-Data Entry'!U25</f>
        <v>135</v>
      </c>
      <c r="R67" s="100">
        <f>'Food-Data Entry'!V25</f>
        <v>168</v>
      </c>
      <c r="S67" s="103">
        <f t="shared" si="16"/>
        <v>303</v>
      </c>
      <c r="T67" s="99">
        <f>'Food-Data Entry'!AA25</f>
        <v>5</v>
      </c>
      <c r="U67" s="100">
        <f>'Food-Data Entry'!AB25</f>
        <v>7</v>
      </c>
      <c r="V67" s="103">
        <f t="shared" si="17"/>
        <v>12</v>
      </c>
      <c r="W67" s="99">
        <f>'Food-Data Entry'!AA25</f>
        <v>5</v>
      </c>
      <c r="X67" s="100">
        <f>'Food-Data Entry'!AB25</f>
        <v>7</v>
      </c>
      <c r="Y67" s="103">
        <f t="shared" si="18"/>
        <v>12</v>
      </c>
      <c r="Z67" s="51"/>
      <c r="AA67" s="763"/>
      <c r="AB67" s="36" t="e">
        <f>#REF!+#REF!+#REF!+#REF!</f>
        <v>#REF!</v>
      </c>
    </row>
    <row r="68" spans="1:28" s="37" customFormat="1" ht="17.25" customHeight="1">
      <c r="A68" s="776"/>
      <c r="B68" s="47">
        <f t="shared" si="19"/>
        <v>20</v>
      </c>
      <c r="C68" s="48">
        <f>'Food-Data Entry'!L26</f>
        <v>45981</v>
      </c>
      <c r="D68" s="49" t="str">
        <f>'Food-Data Entry'!O26</f>
        <v>Thursday</v>
      </c>
      <c r="E68" s="569">
        <f t="shared" si="20"/>
        <v>286.89999999999986</v>
      </c>
      <c r="F68" s="570">
        <f t="shared" si="21"/>
        <v>218.69999999999993</v>
      </c>
      <c r="G68" s="569">
        <f>'Food-Data Entry'!AE26</f>
        <v>0</v>
      </c>
      <c r="H68" s="570">
        <f>'Food-Data Entry'!AG26</f>
        <v>0</v>
      </c>
      <c r="I68" s="569">
        <f>'Food-Data Entry'!AI26</f>
        <v>0</v>
      </c>
      <c r="J68" s="570">
        <f>'Food-Data Entry'!AK26</f>
        <v>0</v>
      </c>
      <c r="K68" s="571">
        <f t="shared" si="12"/>
        <v>286.89999999999986</v>
      </c>
      <c r="L68" s="572">
        <f t="shared" si="13"/>
        <v>218.69999999999993</v>
      </c>
      <c r="M68" s="569">
        <f>'Food-Data Entry'!AY26</f>
        <v>0</v>
      </c>
      <c r="N68" s="570">
        <f>'Food-Data Entry'!AZ26</f>
        <v>1.8</v>
      </c>
      <c r="O68" s="571">
        <f t="shared" si="14"/>
        <v>286.89999999999986</v>
      </c>
      <c r="P68" s="573">
        <f t="shared" si="15"/>
        <v>216.89999999999992</v>
      </c>
      <c r="Q68" s="99">
        <f>'Food-Data Entry'!U26</f>
        <v>135</v>
      </c>
      <c r="R68" s="100">
        <f>'Food-Data Entry'!V26</f>
        <v>168</v>
      </c>
      <c r="S68" s="103">
        <f t="shared" si="16"/>
        <v>303</v>
      </c>
      <c r="T68" s="99">
        <f>'Food-Data Entry'!AA26</f>
        <v>5</v>
      </c>
      <c r="U68" s="100">
        <f>'Food-Data Entry'!AB26</f>
        <v>7</v>
      </c>
      <c r="V68" s="103">
        <f t="shared" si="17"/>
        <v>12</v>
      </c>
      <c r="W68" s="99">
        <f>'Food-Data Entry'!AA26</f>
        <v>5</v>
      </c>
      <c r="X68" s="100">
        <f>'Food-Data Entry'!AB26</f>
        <v>7</v>
      </c>
      <c r="Y68" s="103">
        <f t="shared" si="18"/>
        <v>12</v>
      </c>
      <c r="Z68" s="51"/>
      <c r="AA68" s="763"/>
      <c r="AB68" s="36" t="e">
        <f>#REF!+#REF!+#REF!+#REF!</f>
        <v>#REF!</v>
      </c>
    </row>
    <row r="69" spans="1:28" s="37" customFormat="1" ht="17.25" customHeight="1">
      <c r="A69" s="776"/>
      <c r="B69" s="47">
        <f t="shared" si="19"/>
        <v>21</v>
      </c>
      <c r="C69" s="52">
        <f>'Food-Data Entry'!L27</f>
        <v>45982</v>
      </c>
      <c r="D69" s="53" t="str">
        <f>'Food-Data Entry'!O27</f>
        <v>Friday</v>
      </c>
      <c r="E69" s="569">
        <f t="shared" si="20"/>
        <v>286.89999999999986</v>
      </c>
      <c r="F69" s="570">
        <f t="shared" si="21"/>
        <v>216.89999999999992</v>
      </c>
      <c r="G69" s="569">
        <f>'Food-Data Entry'!AE27</f>
        <v>0</v>
      </c>
      <c r="H69" s="570">
        <f>'Food-Data Entry'!AG27</f>
        <v>0</v>
      </c>
      <c r="I69" s="569">
        <f>'Food-Data Entry'!AI27</f>
        <v>0</v>
      </c>
      <c r="J69" s="570">
        <f>'Food-Data Entry'!AK27</f>
        <v>0</v>
      </c>
      <c r="K69" s="571">
        <f t="shared" si="12"/>
        <v>286.89999999999986</v>
      </c>
      <c r="L69" s="572">
        <f t="shared" si="13"/>
        <v>216.89999999999992</v>
      </c>
      <c r="M69" s="569">
        <f>'Food-Data Entry'!AY27</f>
        <v>1.8</v>
      </c>
      <c r="N69" s="570">
        <f>'Food-Data Entry'!AZ27</f>
        <v>0</v>
      </c>
      <c r="O69" s="571">
        <f t="shared" si="14"/>
        <v>285.09999999999985</v>
      </c>
      <c r="P69" s="573">
        <f t="shared" si="15"/>
        <v>216.89999999999992</v>
      </c>
      <c r="Q69" s="99">
        <f>'Food-Data Entry'!U27</f>
        <v>135</v>
      </c>
      <c r="R69" s="100">
        <f>'Food-Data Entry'!V27</f>
        <v>168</v>
      </c>
      <c r="S69" s="103">
        <f t="shared" si="16"/>
        <v>303</v>
      </c>
      <c r="T69" s="99">
        <f>'Food-Data Entry'!AA27</f>
        <v>5</v>
      </c>
      <c r="U69" s="100">
        <f>'Food-Data Entry'!AB27</f>
        <v>7</v>
      </c>
      <c r="V69" s="103">
        <f t="shared" si="17"/>
        <v>12</v>
      </c>
      <c r="W69" s="99">
        <f>'Food-Data Entry'!AA27</f>
        <v>5</v>
      </c>
      <c r="X69" s="100">
        <f>'Food-Data Entry'!AB27</f>
        <v>7</v>
      </c>
      <c r="Y69" s="103">
        <f t="shared" si="18"/>
        <v>12</v>
      </c>
      <c r="Z69" s="54"/>
      <c r="AA69" s="763"/>
      <c r="AB69" s="36" t="e">
        <f>#REF!+#REF!+#REF!+#REF!</f>
        <v>#REF!</v>
      </c>
    </row>
    <row r="70" spans="1:28" s="37" customFormat="1" ht="17.25" customHeight="1">
      <c r="A70" s="776"/>
      <c r="B70" s="47">
        <f t="shared" si="19"/>
        <v>22</v>
      </c>
      <c r="C70" s="52">
        <f>'Food-Data Entry'!L28</f>
        <v>45983</v>
      </c>
      <c r="D70" s="53" t="str">
        <f>'Food-Data Entry'!O28</f>
        <v>Saturday</v>
      </c>
      <c r="E70" s="569">
        <f t="shared" si="20"/>
        <v>285.09999999999985</v>
      </c>
      <c r="F70" s="570">
        <f t="shared" si="21"/>
        <v>216.89999999999992</v>
      </c>
      <c r="G70" s="569">
        <f>'Food-Data Entry'!AE28</f>
        <v>0</v>
      </c>
      <c r="H70" s="570">
        <f>'Food-Data Entry'!AG28</f>
        <v>0</v>
      </c>
      <c r="I70" s="569">
        <f>'Food-Data Entry'!AI28</f>
        <v>0</v>
      </c>
      <c r="J70" s="570">
        <f>'Food-Data Entry'!AK28</f>
        <v>0</v>
      </c>
      <c r="K70" s="571">
        <f t="shared" si="12"/>
        <v>285.09999999999985</v>
      </c>
      <c r="L70" s="572">
        <f t="shared" si="13"/>
        <v>216.89999999999992</v>
      </c>
      <c r="M70" s="569">
        <f>'Food-Data Entry'!AY28</f>
        <v>1.8</v>
      </c>
      <c r="N70" s="570">
        <f>'Food-Data Entry'!AZ28</f>
        <v>0</v>
      </c>
      <c r="O70" s="571">
        <f t="shared" si="14"/>
        <v>283.29999999999984</v>
      </c>
      <c r="P70" s="573">
        <f t="shared" si="15"/>
        <v>216.89999999999992</v>
      </c>
      <c r="Q70" s="99">
        <f>'Food-Data Entry'!U28</f>
        <v>135</v>
      </c>
      <c r="R70" s="100">
        <f>'Food-Data Entry'!V28</f>
        <v>168</v>
      </c>
      <c r="S70" s="103">
        <f t="shared" si="16"/>
        <v>303</v>
      </c>
      <c r="T70" s="99">
        <f>'Food-Data Entry'!AA28</f>
        <v>5</v>
      </c>
      <c r="U70" s="100">
        <f>'Food-Data Entry'!AB28</f>
        <v>7</v>
      </c>
      <c r="V70" s="103">
        <f t="shared" si="17"/>
        <v>12</v>
      </c>
      <c r="W70" s="99">
        <f>'Food-Data Entry'!AA28</f>
        <v>5</v>
      </c>
      <c r="X70" s="100">
        <f>'Food-Data Entry'!AB28</f>
        <v>7</v>
      </c>
      <c r="Y70" s="103">
        <f t="shared" si="18"/>
        <v>12</v>
      </c>
      <c r="Z70" s="54"/>
      <c r="AA70" s="763"/>
      <c r="AB70" s="36" t="e">
        <f>#REF!+#REF!+#REF!+#REF!</f>
        <v>#REF!</v>
      </c>
    </row>
    <row r="71" spans="1:28" s="37" customFormat="1" ht="17.25" customHeight="1">
      <c r="A71" s="776"/>
      <c r="B71" s="47">
        <f t="shared" si="19"/>
        <v>23</v>
      </c>
      <c r="C71" s="52">
        <f>'Food-Data Entry'!L29</f>
        <v>45984</v>
      </c>
      <c r="D71" s="53" t="str">
        <f>'Food-Data Entry'!O29</f>
        <v>Holiday</v>
      </c>
      <c r="E71" s="569">
        <f t="shared" si="20"/>
        <v>283.29999999999984</v>
      </c>
      <c r="F71" s="570">
        <f t="shared" si="21"/>
        <v>216.89999999999992</v>
      </c>
      <c r="G71" s="569">
        <f>'Food-Data Entry'!AE29</f>
        <v>0</v>
      </c>
      <c r="H71" s="570">
        <f>'Food-Data Entry'!AG29</f>
        <v>0</v>
      </c>
      <c r="I71" s="569">
        <f>'Food-Data Entry'!AI29</f>
        <v>0</v>
      </c>
      <c r="J71" s="570">
        <f>'Food-Data Entry'!AK29</f>
        <v>0</v>
      </c>
      <c r="K71" s="571">
        <f t="shared" si="12"/>
        <v>283.29999999999984</v>
      </c>
      <c r="L71" s="572">
        <f t="shared" si="13"/>
        <v>216.89999999999992</v>
      </c>
      <c r="M71" s="569">
        <f>'Food-Data Entry'!AY29</f>
        <v>0</v>
      </c>
      <c r="N71" s="570">
        <f>'Food-Data Entry'!AZ29</f>
        <v>0</v>
      </c>
      <c r="O71" s="571">
        <f t="shared" si="14"/>
        <v>283.29999999999984</v>
      </c>
      <c r="P71" s="573">
        <f t="shared" si="15"/>
        <v>216.89999999999992</v>
      </c>
      <c r="Q71" s="99">
        <f>'Food-Data Entry'!U29</f>
        <v>135</v>
      </c>
      <c r="R71" s="100">
        <f>'Food-Data Entry'!V29</f>
        <v>168</v>
      </c>
      <c r="S71" s="103">
        <f t="shared" si="16"/>
        <v>303</v>
      </c>
      <c r="T71" s="99">
        <f>'Food-Data Entry'!AA29</f>
        <v>0</v>
      </c>
      <c r="U71" s="100">
        <f>'Food-Data Entry'!AB29</f>
        <v>0</v>
      </c>
      <c r="V71" s="103">
        <f t="shared" si="17"/>
        <v>0</v>
      </c>
      <c r="W71" s="99">
        <f>'Food-Data Entry'!AA29</f>
        <v>0</v>
      </c>
      <c r="X71" s="100">
        <f>'Food-Data Entry'!AB29</f>
        <v>0</v>
      </c>
      <c r="Y71" s="103">
        <f t="shared" si="18"/>
        <v>0</v>
      </c>
      <c r="Z71" s="54"/>
      <c r="AA71" s="763"/>
      <c r="AB71" s="36" t="e">
        <f>#REF!+#REF!+#REF!+#REF!</f>
        <v>#REF!</v>
      </c>
    </row>
    <row r="72" spans="1:28" s="37" customFormat="1" ht="17.25" customHeight="1">
      <c r="A72" s="776"/>
      <c r="B72" s="47">
        <f t="shared" si="19"/>
        <v>24</v>
      </c>
      <c r="C72" s="52">
        <f>'Food-Data Entry'!L30</f>
        <v>45985</v>
      </c>
      <c r="D72" s="53" t="str">
        <f>'Food-Data Entry'!O30</f>
        <v>Monday</v>
      </c>
      <c r="E72" s="569">
        <f t="shared" si="20"/>
        <v>283.29999999999984</v>
      </c>
      <c r="F72" s="570">
        <f t="shared" si="21"/>
        <v>216.89999999999992</v>
      </c>
      <c r="G72" s="569">
        <f>'Food-Data Entry'!AE30</f>
        <v>0</v>
      </c>
      <c r="H72" s="570">
        <f>'Food-Data Entry'!AG30</f>
        <v>0</v>
      </c>
      <c r="I72" s="569">
        <f>'Food-Data Entry'!AI30</f>
        <v>0</v>
      </c>
      <c r="J72" s="570">
        <f>'Food-Data Entry'!AK30</f>
        <v>0</v>
      </c>
      <c r="K72" s="571">
        <f t="shared" si="12"/>
        <v>283.29999999999984</v>
      </c>
      <c r="L72" s="572">
        <f t="shared" si="13"/>
        <v>216.89999999999992</v>
      </c>
      <c r="M72" s="569">
        <f>'Food-Data Entry'!AY30</f>
        <v>1.8</v>
      </c>
      <c r="N72" s="570">
        <f>'Food-Data Entry'!AZ30</f>
        <v>0</v>
      </c>
      <c r="O72" s="571">
        <f t="shared" si="14"/>
        <v>281.49999999999983</v>
      </c>
      <c r="P72" s="573">
        <f t="shared" si="15"/>
        <v>216.89999999999992</v>
      </c>
      <c r="Q72" s="99">
        <f>'Food-Data Entry'!U30</f>
        <v>135</v>
      </c>
      <c r="R72" s="100">
        <f>'Food-Data Entry'!V30</f>
        <v>168</v>
      </c>
      <c r="S72" s="103">
        <f t="shared" si="16"/>
        <v>303</v>
      </c>
      <c r="T72" s="99">
        <f>'Food-Data Entry'!AA30</f>
        <v>5</v>
      </c>
      <c r="U72" s="100">
        <f>'Food-Data Entry'!AB30</f>
        <v>7</v>
      </c>
      <c r="V72" s="103">
        <f t="shared" si="17"/>
        <v>12</v>
      </c>
      <c r="W72" s="99">
        <f>'Food-Data Entry'!AA30</f>
        <v>5</v>
      </c>
      <c r="X72" s="100">
        <f>'Food-Data Entry'!AB30</f>
        <v>7</v>
      </c>
      <c r="Y72" s="103">
        <f t="shared" si="18"/>
        <v>12</v>
      </c>
      <c r="Z72" s="54"/>
      <c r="AA72" s="763"/>
      <c r="AB72" s="36" t="e">
        <f>#REF!+#REF!+#REF!+#REF!</f>
        <v>#REF!</v>
      </c>
    </row>
    <row r="73" spans="1:28" s="37" customFormat="1" ht="17.25" customHeight="1">
      <c r="A73" s="776"/>
      <c r="B73" s="47">
        <f t="shared" si="19"/>
        <v>25</v>
      </c>
      <c r="C73" s="52">
        <f>'Food-Data Entry'!L31</f>
        <v>45986</v>
      </c>
      <c r="D73" s="53" t="str">
        <f>'Food-Data Entry'!O31</f>
        <v>Tuesday</v>
      </c>
      <c r="E73" s="569">
        <f t="shared" si="20"/>
        <v>281.49999999999983</v>
      </c>
      <c r="F73" s="570">
        <f t="shared" si="21"/>
        <v>216.89999999999992</v>
      </c>
      <c r="G73" s="569">
        <f>'Food-Data Entry'!AE31</f>
        <v>0</v>
      </c>
      <c r="H73" s="570">
        <f>'Food-Data Entry'!AG31</f>
        <v>0</v>
      </c>
      <c r="I73" s="569">
        <f>'Food-Data Entry'!AI31</f>
        <v>0</v>
      </c>
      <c r="J73" s="570">
        <f>'Food-Data Entry'!AK31</f>
        <v>0</v>
      </c>
      <c r="K73" s="571">
        <f t="shared" si="12"/>
        <v>281.49999999999983</v>
      </c>
      <c r="L73" s="572">
        <f t="shared" si="13"/>
        <v>216.89999999999992</v>
      </c>
      <c r="M73" s="569">
        <f>'Food-Data Entry'!AY31</f>
        <v>0</v>
      </c>
      <c r="N73" s="570">
        <f>'Food-Data Entry'!AZ31</f>
        <v>1.8</v>
      </c>
      <c r="O73" s="571">
        <f t="shared" si="14"/>
        <v>281.49999999999983</v>
      </c>
      <c r="P73" s="573">
        <f t="shared" si="15"/>
        <v>215.09999999999991</v>
      </c>
      <c r="Q73" s="99">
        <f>'Food-Data Entry'!U31</f>
        <v>135</v>
      </c>
      <c r="R73" s="100">
        <f>'Food-Data Entry'!V31</f>
        <v>168</v>
      </c>
      <c r="S73" s="103">
        <f t="shared" si="16"/>
        <v>303</v>
      </c>
      <c r="T73" s="99">
        <f>'Food-Data Entry'!AA31</f>
        <v>5</v>
      </c>
      <c r="U73" s="100">
        <f>'Food-Data Entry'!AB31</f>
        <v>7</v>
      </c>
      <c r="V73" s="103">
        <f t="shared" si="17"/>
        <v>12</v>
      </c>
      <c r="W73" s="99">
        <f>'Food-Data Entry'!AA31</f>
        <v>5</v>
      </c>
      <c r="X73" s="100">
        <f>'Food-Data Entry'!AB31</f>
        <v>7</v>
      </c>
      <c r="Y73" s="103">
        <f t="shared" si="18"/>
        <v>12</v>
      </c>
      <c r="Z73" s="54"/>
      <c r="AA73" s="763"/>
      <c r="AB73" s="36" t="e">
        <f>#REF!+#REF!+#REF!+#REF!</f>
        <v>#REF!</v>
      </c>
    </row>
    <row r="74" spans="1:28" s="37" customFormat="1" ht="17.25" customHeight="1">
      <c r="A74" s="776"/>
      <c r="B74" s="47">
        <f t="shared" si="19"/>
        <v>26</v>
      </c>
      <c r="C74" s="52">
        <f>'Food-Data Entry'!L32</f>
        <v>45987</v>
      </c>
      <c r="D74" s="53" t="str">
        <f>'Food-Data Entry'!O32</f>
        <v>Wednesday</v>
      </c>
      <c r="E74" s="569">
        <f t="shared" si="20"/>
        <v>281.49999999999983</v>
      </c>
      <c r="F74" s="570">
        <f t="shared" si="21"/>
        <v>215.09999999999991</v>
      </c>
      <c r="G74" s="569">
        <f>'Food-Data Entry'!AE32</f>
        <v>0</v>
      </c>
      <c r="H74" s="570">
        <f>'Food-Data Entry'!AG32</f>
        <v>0</v>
      </c>
      <c r="I74" s="569">
        <f>'Food-Data Entry'!AI32</f>
        <v>0</v>
      </c>
      <c r="J74" s="570">
        <f>'Food-Data Entry'!AK32</f>
        <v>0</v>
      </c>
      <c r="K74" s="571">
        <f t="shared" si="12"/>
        <v>281.49999999999983</v>
      </c>
      <c r="L74" s="572">
        <f t="shared" si="13"/>
        <v>215.09999999999991</v>
      </c>
      <c r="M74" s="569">
        <f>'Food-Data Entry'!AY32</f>
        <v>1.8</v>
      </c>
      <c r="N74" s="570">
        <f>'Food-Data Entry'!AZ32</f>
        <v>0</v>
      </c>
      <c r="O74" s="571">
        <f t="shared" si="14"/>
        <v>279.69999999999982</v>
      </c>
      <c r="P74" s="573">
        <f t="shared" si="15"/>
        <v>215.09999999999991</v>
      </c>
      <c r="Q74" s="99">
        <f>'Food-Data Entry'!U32</f>
        <v>135</v>
      </c>
      <c r="R74" s="100">
        <f>'Food-Data Entry'!V32</f>
        <v>168</v>
      </c>
      <c r="S74" s="103">
        <f t="shared" si="16"/>
        <v>303</v>
      </c>
      <c r="T74" s="99">
        <f>'Food-Data Entry'!AA32</f>
        <v>5</v>
      </c>
      <c r="U74" s="100">
        <f>'Food-Data Entry'!AB32</f>
        <v>7</v>
      </c>
      <c r="V74" s="103">
        <f t="shared" si="17"/>
        <v>12</v>
      </c>
      <c r="W74" s="99">
        <f>'Food-Data Entry'!AA32</f>
        <v>5</v>
      </c>
      <c r="X74" s="100">
        <f>'Food-Data Entry'!AB32</f>
        <v>7</v>
      </c>
      <c r="Y74" s="103">
        <f t="shared" si="18"/>
        <v>12</v>
      </c>
      <c r="Z74" s="54"/>
      <c r="AA74" s="763"/>
      <c r="AB74" s="36" t="e">
        <f>#REF!+#REF!+#REF!+#REF!</f>
        <v>#REF!</v>
      </c>
    </row>
    <row r="75" spans="1:28" s="37" customFormat="1" ht="17.25" customHeight="1">
      <c r="A75" s="776"/>
      <c r="B75" s="47">
        <f t="shared" si="19"/>
        <v>27</v>
      </c>
      <c r="C75" s="52">
        <f>'Food-Data Entry'!L33</f>
        <v>45988</v>
      </c>
      <c r="D75" s="53" t="str">
        <f>'Food-Data Entry'!O33</f>
        <v>Thursday</v>
      </c>
      <c r="E75" s="569">
        <f t="shared" si="20"/>
        <v>279.69999999999982</v>
      </c>
      <c r="F75" s="570">
        <f t="shared" si="21"/>
        <v>215.09999999999991</v>
      </c>
      <c r="G75" s="569">
        <f>'Food-Data Entry'!AE33</f>
        <v>0</v>
      </c>
      <c r="H75" s="570">
        <f>'Food-Data Entry'!AG33</f>
        <v>0</v>
      </c>
      <c r="I75" s="569">
        <f>'Food-Data Entry'!AI33</f>
        <v>0</v>
      </c>
      <c r="J75" s="570">
        <f>'Food-Data Entry'!AK33</f>
        <v>0</v>
      </c>
      <c r="K75" s="571">
        <f t="shared" si="12"/>
        <v>279.69999999999982</v>
      </c>
      <c r="L75" s="572">
        <f t="shared" si="13"/>
        <v>215.09999999999991</v>
      </c>
      <c r="M75" s="569">
        <f>'Food-Data Entry'!AY33</f>
        <v>0</v>
      </c>
      <c r="N75" s="570">
        <f>'Food-Data Entry'!AZ33</f>
        <v>1.8</v>
      </c>
      <c r="O75" s="571">
        <f t="shared" si="14"/>
        <v>279.69999999999982</v>
      </c>
      <c r="P75" s="573">
        <f t="shared" si="15"/>
        <v>213.2999999999999</v>
      </c>
      <c r="Q75" s="99">
        <f>'Food-Data Entry'!U33</f>
        <v>135</v>
      </c>
      <c r="R75" s="100">
        <f>'Food-Data Entry'!V33</f>
        <v>168</v>
      </c>
      <c r="S75" s="103">
        <f t="shared" si="16"/>
        <v>303</v>
      </c>
      <c r="T75" s="99">
        <f>'Food-Data Entry'!AA33</f>
        <v>5</v>
      </c>
      <c r="U75" s="100">
        <f>'Food-Data Entry'!AB33</f>
        <v>7</v>
      </c>
      <c r="V75" s="103">
        <f t="shared" si="17"/>
        <v>12</v>
      </c>
      <c r="W75" s="99">
        <f>'Food-Data Entry'!AA33</f>
        <v>5</v>
      </c>
      <c r="X75" s="100">
        <f>'Food-Data Entry'!AB33</f>
        <v>7</v>
      </c>
      <c r="Y75" s="103">
        <f t="shared" si="18"/>
        <v>12</v>
      </c>
      <c r="Z75" s="54"/>
      <c r="AA75" s="763"/>
      <c r="AB75" s="36" t="e">
        <f>#REF!+#REF!+#REF!+#REF!</f>
        <v>#REF!</v>
      </c>
    </row>
    <row r="76" spans="1:28" s="37" customFormat="1" ht="17.25" customHeight="1">
      <c r="A76" s="776"/>
      <c r="B76" s="47">
        <f t="shared" si="19"/>
        <v>28</v>
      </c>
      <c r="C76" s="52">
        <f>'Food-Data Entry'!L34</f>
        <v>45989</v>
      </c>
      <c r="D76" s="53" t="str">
        <f>'Food-Data Entry'!O34</f>
        <v>Friday</v>
      </c>
      <c r="E76" s="569">
        <f t="shared" si="20"/>
        <v>279.69999999999982</v>
      </c>
      <c r="F76" s="570">
        <f t="shared" si="21"/>
        <v>213.2999999999999</v>
      </c>
      <c r="G76" s="569">
        <f>'Food-Data Entry'!AE34</f>
        <v>0</v>
      </c>
      <c r="H76" s="570">
        <f>'Food-Data Entry'!AG34</f>
        <v>0</v>
      </c>
      <c r="I76" s="569">
        <f>'Food-Data Entry'!AI34</f>
        <v>0</v>
      </c>
      <c r="J76" s="570">
        <f>'Food-Data Entry'!AK34</f>
        <v>0</v>
      </c>
      <c r="K76" s="571">
        <f t="shared" si="12"/>
        <v>279.69999999999982</v>
      </c>
      <c r="L76" s="572">
        <f t="shared" si="13"/>
        <v>213.2999999999999</v>
      </c>
      <c r="M76" s="569">
        <f>'Food-Data Entry'!AY34</f>
        <v>1.8</v>
      </c>
      <c r="N76" s="570">
        <f>'Food-Data Entry'!AZ34</f>
        <v>0</v>
      </c>
      <c r="O76" s="571">
        <f t="shared" si="14"/>
        <v>277.89999999999981</v>
      </c>
      <c r="P76" s="573">
        <f t="shared" si="15"/>
        <v>213.2999999999999</v>
      </c>
      <c r="Q76" s="99">
        <f>'Food-Data Entry'!U34</f>
        <v>135</v>
      </c>
      <c r="R76" s="100">
        <f>'Food-Data Entry'!V34</f>
        <v>168</v>
      </c>
      <c r="S76" s="103">
        <f t="shared" si="16"/>
        <v>303</v>
      </c>
      <c r="T76" s="99">
        <f>'Food-Data Entry'!AA34</f>
        <v>5</v>
      </c>
      <c r="U76" s="100">
        <f>'Food-Data Entry'!AB34</f>
        <v>7</v>
      </c>
      <c r="V76" s="103">
        <f t="shared" si="17"/>
        <v>12</v>
      </c>
      <c r="W76" s="99">
        <f>'Food-Data Entry'!AA34</f>
        <v>5</v>
      </c>
      <c r="X76" s="100">
        <f>'Food-Data Entry'!AB34</f>
        <v>7</v>
      </c>
      <c r="Y76" s="103">
        <f t="shared" si="18"/>
        <v>12</v>
      </c>
      <c r="Z76" s="54"/>
      <c r="AA76" s="763"/>
      <c r="AB76" s="36" t="e">
        <f>#REF!+#REF!+#REF!+#REF!</f>
        <v>#REF!</v>
      </c>
    </row>
    <row r="77" spans="1:28" s="37" customFormat="1" ht="17.25" customHeight="1">
      <c r="A77" s="776"/>
      <c r="B77" s="47">
        <f t="shared" si="19"/>
        <v>29</v>
      </c>
      <c r="C77" s="52">
        <f>'Food-Data Entry'!L35</f>
        <v>45990</v>
      </c>
      <c r="D77" s="53" t="str">
        <f>'Food-Data Entry'!O35</f>
        <v>Saturday</v>
      </c>
      <c r="E77" s="569">
        <f t="shared" si="20"/>
        <v>277.89999999999981</v>
      </c>
      <c r="F77" s="570">
        <f t="shared" si="21"/>
        <v>213.2999999999999</v>
      </c>
      <c r="G77" s="569">
        <f>'Food-Data Entry'!AE35</f>
        <v>0</v>
      </c>
      <c r="H77" s="570">
        <f>'Food-Data Entry'!AG35</f>
        <v>0</v>
      </c>
      <c r="I77" s="569">
        <f>'Food-Data Entry'!AI35</f>
        <v>0</v>
      </c>
      <c r="J77" s="570">
        <f>'Food-Data Entry'!AK35</f>
        <v>0</v>
      </c>
      <c r="K77" s="571">
        <f t="shared" si="12"/>
        <v>277.89999999999981</v>
      </c>
      <c r="L77" s="572">
        <f t="shared" si="13"/>
        <v>213.2999999999999</v>
      </c>
      <c r="M77" s="569">
        <f>'Food-Data Entry'!AY35</f>
        <v>1.8</v>
      </c>
      <c r="N77" s="570">
        <f>'Food-Data Entry'!AZ35</f>
        <v>0</v>
      </c>
      <c r="O77" s="571">
        <f t="shared" si="14"/>
        <v>276.0999999999998</v>
      </c>
      <c r="P77" s="573">
        <f t="shared" si="15"/>
        <v>213.2999999999999</v>
      </c>
      <c r="Q77" s="99">
        <f>'Food-Data Entry'!U35</f>
        <v>135</v>
      </c>
      <c r="R77" s="100">
        <f>'Food-Data Entry'!V35</f>
        <v>168</v>
      </c>
      <c r="S77" s="103">
        <f t="shared" si="16"/>
        <v>303</v>
      </c>
      <c r="T77" s="99">
        <f>'Food-Data Entry'!AA35</f>
        <v>5</v>
      </c>
      <c r="U77" s="100">
        <f>'Food-Data Entry'!AB35</f>
        <v>7</v>
      </c>
      <c r="V77" s="103">
        <f t="shared" si="17"/>
        <v>12</v>
      </c>
      <c r="W77" s="99">
        <f>'Food-Data Entry'!AA35</f>
        <v>5</v>
      </c>
      <c r="X77" s="100">
        <f>'Food-Data Entry'!AB35</f>
        <v>7</v>
      </c>
      <c r="Y77" s="103">
        <f t="shared" si="18"/>
        <v>12</v>
      </c>
      <c r="Z77" s="54"/>
      <c r="AA77" s="763"/>
      <c r="AB77" s="36" t="e">
        <f>#REF!+#REF!+#REF!+#REF!</f>
        <v>#REF!</v>
      </c>
    </row>
    <row r="78" spans="1:28" s="37" customFormat="1" ht="17.25" customHeight="1">
      <c r="A78" s="776"/>
      <c r="B78" s="47">
        <f t="shared" si="19"/>
        <v>30</v>
      </c>
      <c r="C78" s="52">
        <f>'Food-Data Entry'!L36</f>
        <v>45991</v>
      </c>
      <c r="D78" s="53" t="str">
        <f>'Food-Data Entry'!O36</f>
        <v>Holiday</v>
      </c>
      <c r="E78" s="569">
        <f t="shared" si="20"/>
        <v>276.0999999999998</v>
      </c>
      <c r="F78" s="570">
        <f t="shared" si="21"/>
        <v>213.2999999999999</v>
      </c>
      <c r="G78" s="569">
        <f>'Food-Data Entry'!AE36</f>
        <v>0</v>
      </c>
      <c r="H78" s="570">
        <f>'Food-Data Entry'!AG36</f>
        <v>0</v>
      </c>
      <c r="I78" s="569">
        <f>'Food-Data Entry'!AI36</f>
        <v>0</v>
      </c>
      <c r="J78" s="570">
        <f>'Food-Data Entry'!AK36</f>
        <v>0</v>
      </c>
      <c r="K78" s="571">
        <f t="shared" si="12"/>
        <v>276.0999999999998</v>
      </c>
      <c r="L78" s="572">
        <f t="shared" si="13"/>
        <v>213.2999999999999</v>
      </c>
      <c r="M78" s="569">
        <f>'Food-Data Entry'!AY36</f>
        <v>0</v>
      </c>
      <c r="N78" s="570">
        <f>'Food-Data Entry'!AZ36</f>
        <v>0</v>
      </c>
      <c r="O78" s="571">
        <f t="shared" si="14"/>
        <v>276.0999999999998</v>
      </c>
      <c r="P78" s="573">
        <f t="shared" si="15"/>
        <v>213.2999999999999</v>
      </c>
      <c r="Q78" s="99">
        <f>'Food-Data Entry'!U36</f>
        <v>135</v>
      </c>
      <c r="R78" s="100">
        <f>'Food-Data Entry'!V36</f>
        <v>168</v>
      </c>
      <c r="S78" s="103">
        <f t="shared" si="16"/>
        <v>303</v>
      </c>
      <c r="T78" s="99">
        <f>'Food-Data Entry'!AA36</f>
        <v>0</v>
      </c>
      <c r="U78" s="100">
        <f>'Food-Data Entry'!AB36</f>
        <v>0</v>
      </c>
      <c r="V78" s="103">
        <f t="shared" si="17"/>
        <v>0</v>
      </c>
      <c r="W78" s="99">
        <f>'Food-Data Entry'!AA36</f>
        <v>0</v>
      </c>
      <c r="X78" s="100">
        <f>'Food-Data Entry'!AB36</f>
        <v>0</v>
      </c>
      <c r="Y78" s="103">
        <f t="shared" si="18"/>
        <v>0</v>
      </c>
      <c r="Z78" s="54"/>
      <c r="AA78" s="763"/>
      <c r="AB78" s="36" t="e">
        <f>#REF!+#REF!+#REF!+#REF!</f>
        <v>#REF!</v>
      </c>
    </row>
    <row r="79" spans="1:28" s="37" customFormat="1" ht="19.5" customHeight="1" thickBot="1">
      <c r="A79" s="776"/>
      <c r="B79" s="59">
        <f t="shared" si="19"/>
        <v>0</v>
      </c>
      <c r="C79" s="55" t="str">
        <f>'Food-Data Entry'!L37</f>
        <v>---</v>
      </c>
      <c r="D79" s="56" t="str">
        <f>'Food-Data Entry'!O37</f>
        <v>---</v>
      </c>
      <c r="E79" s="574">
        <f t="shared" si="20"/>
        <v>276.0999999999998</v>
      </c>
      <c r="F79" s="575">
        <f t="shared" si="21"/>
        <v>213.2999999999999</v>
      </c>
      <c r="G79" s="574">
        <f>'Food-Data Entry'!AE37</f>
        <v>0</v>
      </c>
      <c r="H79" s="575">
        <f>'Food-Data Entry'!AG37</f>
        <v>0</v>
      </c>
      <c r="I79" s="574">
        <f>'Food-Data Entry'!AI37</f>
        <v>0</v>
      </c>
      <c r="J79" s="575">
        <f>'Food-Data Entry'!AK37</f>
        <v>0</v>
      </c>
      <c r="K79" s="576">
        <f t="shared" si="12"/>
        <v>276.0999999999998</v>
      </c>
      <c r="L79" s="577">
        <f t="shared" si="13"/>
        <v>213.2999999999999</v>
      </c>
      <c r="M79" s="578">
        <f>'Food-Data Entry'!AY37</f>
        <v>0</v>
      </c>
      <c r="N79" s="579">
        <f>'Food-Data Entry'!AZ37</f>
        <v>0</v>
      </c>
      <c r="O79" s="580">
        <f t="shared" si="14"/>
        <v>276.0999999999998</v>
      </c>
      <c r="P79" s="581">
        <f t="shared" si="15"/>
        <v>213.2999999999999</v>
      </c>
      <c r="Q79" s="101" t="str">
        <f>'Food-Data Entry'!U37</f>
        <v>---</v>
      </c>
      <c r="R79" s="102" t="str">
        <f>'Food-Data Entry'!V37</f>
        <v>---</v>
      </c>
      <c r="S79" s="104">
        <f t="shared" si="16"/>
        <v>0</v>
      </c>
      <c r="T79" s="101">
        <f>'Food-Data Entry'!AA37</f>
        <v>5</v>
      </c>
      <c r="U79" s="102">
        <f>'Food-Data Entry'!AB37</f>
        <v>7</v>
      </c>
      <c r="V79" s="104">
        <f t="shared" si="17"/>
        <v>12</v>
      </c>
      <c r="W79" s="101">
        <f>'Food-Data Entry'!AA37</f>
        <v>5</v>
      </c>
      <c r="X79" s="102">
        <f>'Food-Data Entry'!AB37</f>
        <v>7</v>
      </c>
      <c r="Y79" s="104">
        <f t="shared" si="18"/>
        <v>12</v>
      </c>
      <c r="Z79" s="60"/>
      <c r="AA79" s="763"/>
      <c r="AB79" s="36" t="e">
        <f>#REF!+#REF!+#REF!+#REF!</f>
        <v>#REF!</v>
      </c>
    </row>
    <row r="80" spans="1:28" s="37" customFormat="1" ht="19.5" customHeight="1">
      <c r="A80" s="776"/>
      <c r="B80" s="1303" t="s">
        <v>161</v>
      </c>
      <c r="C80" s="1304"/>
      <c r="D80" s="105" t="s">
        <v>162</v>
      </c>
      <c r="E80" s="1307">
        <f>'Food-Data Entry'!AE38</f>
        <v>0</v>
      </c>
      <c r="F80" s="1307"/>
      <c r="G80" s="1308"/>
      <c r="H80" s="1303" t="s">
        <v>164</v>
      </c>
      <c r="I80" s="1304"/>
      <c r="J80" s="1309"/>
      <c r="K80" s="1311" t="s">
        <v>162</v>
      </c>
      <c r="L80" s="1312"/>
      <c r="M80" s="1307">
        <f>'Food-Data Entry'!AI38</f>
        <v>0</v>
      </c>
      <c r="N80" s="1307"/>
      <c r="O80" s="1308"/>
      <c r="P80" s="1313" t="s">
        <v>165</v>
      </c>
      <c r="Q80" s="1314"/>
      <c r="R80" s="1314"/>
      <c r="S80" s="1315"/>
      <c r="T80" s="1319" t="s">
        <v>166</v>
      </c>
      <c r="U80" s="1320"/>
      <c r="V80" s="1320"/>
      <c r="W80" s="1321">
        <f>O79</f>
        <v>276.0999999999998</v>
      </c>
      <c r="X80" s="1321"/>
      <c r="Y80" s="1321"/>
      <c r="Z80" s="1322"/>
      <c r="AA80" s="763"/>
      <c r="AB80" s="36"/>
    </row>
    <row r="81" spans="1:29" s="37" customFormat="1" ht="19.5" customHeight="1" thickBot="1">
      <c r="A81" s="776"/>
      <c r="B81" s="1305"/>
      <c r="C81" s="1306"/>
      <c r="D81" s="106" t="s">
        <v>163</v>
      </c>
      <c r="E81" s="1323">
        <f>'Food-Data Entry'!AG38</f>
        <v>0</v>
      </c>
      <c r="F81" s="1323"/>
      <c r="G81" s="1324"/>
      <c r="H81" s="1305"/>
      <c r="I81" s="1306"/>
      <c r="J81" s="1310"/>
      <c r="K81" s="1325" t="s">
        <v>163</v>
      </c>
      <c r="L81" s="1326"/>
      <c r="M81" s="1323">
        <f>'Food-Data Entry'!AK38</f>
        <v>0</v>
      </c>
      <c r="N81" s="1323"/>
      <c r="O81" s="1324"/>
      <c r="P81" s="1316"/>
      <c r="Q81" s="1317"/>
      <c r="R81" s="1317"/>
      <c r="S81" s="1318"/>
      <c r="T81" s="1327" t="s">
        <v>167</v>
      </c>
      <c r="U81" s="1327"/>
      <c r="V81" s="1327"/>
      <c r="W81" s="1328">
        <f>P79</f>
        <v>213.2999999999999</v>
      </c>
      <c r="X81" s="1328"/>
      <c r="Y81" s="1328"/>
      <c r="Z81" s="1329"/>
      <c r="AA81" s="763"/>
      <c r="AB81" s="36"/>
    </row>
    <row r="82" spans="1:29" ht="15" customHeight="1" thickBot="1">
      <c r="A82" s="776"/>
      <c r="B82" s="1330"/>
      <c r="C82" s="1330"/>
      <c r="D82" s="1330"/>
      <c r="E82" s="1330"/>
      <c r="F82" s="1330"/>
      <c r="G82" s="1330"/>
      <c r="H82" s="1330"/>
      <c r="I82" s="1330"/>
      <c r="J82" s="1330"/>
      <c r="K82" s="1330"/>
      <c r="L82" s="1330"/>
      <c r="M82" s="1330"/>
      <c r="N82" s="1330"/>
      <c r="O82" s="65"/>
      <c r="P82" s="65"/>
      <c r="Q82" s="65"/>
      <c r="R82" s="65"/>
      <c r="S82" s="65"/>
      <c r="T82" s="65"/>
      <c r="U82" s="65"/>
      <c r="V82" s="65"/>
      <c r="W82" s="65"/>
      <c r="X82" s="65"/>
      <c r="Y82" s="65"/>
      <c r="Z82" s="32"/>
      <c r="AA82" s="763"/>
    </row>
    <row r="83" spans="1:29" ht="15.75" hidden="1" thickBot="1">
      <c r="A83" s="763"/>
      <c r="B83" s="763"/>
      <c r="C83" s="763"/>
      <c r="D83" s="763"/>
      <c r="E83" s="763"/>
      <c r="F83" s="763"/>
      <c r="G83" s="763"/>
      <c r="H83" s="763"/>
      <c r="I83" s="763"/>
      <c r="J83" s="763"/>
      <c r="K83" s="763"/>
      <c r="L83" s="763"/>
      <c r="M83" s="763"/>
      <c r="N83" s="763"/>
      <c r="O83" s="763"/>
      <c r="P83" s="763"/>
      <c r="Q83" s="763"/>
      <c r="R83" s="763"/>
      <c r="S83" s="763"/>
      <c r="T83" s="763"/>
      <c r="U83" s="763"/>
      <c r="V83" s="763"/>
      <c r="W83" s="763"/>
      <c r="X83" s="763"/>
      <c r="Y83" s="763"/>
      <c r="Z83" s="763"/>
      <c r="AA83" s="763"/>
    </row>
    <row r="84" spans="1:29" s="46" customFormat="1" ht="25.5" customHeight="1" thickBot="1">
      <c r="A84" s="776"/>
      <c r="B84" s="1255" t="str">
        <f>'Food-Data Entry'!B2</f>
        <v>Office: Govt. Sr. Sec. School Raimalwada, Bapini (Phalodi)</v>
      </c>
      <c r="C84" s="1256"/>
      <c r="D84" s="1256"/>
      <c r="E84" s="1257"/>
      <c r="F84" s="1257"/>
      <c r="G84" s="1257"/>
      <c r="H84" s="1257"/>
      <c r="I84" s="1257"/>
      <c r="J84" s="1257"/>
      <c r="K84" s="1257"/>
      <c r="L84" s="1257"/>
      <c r="M84" s="1257"/>
      <c r="N84" s="1257"/>
      <c r="O84" s="1256"/>
      <c r="P84" s="1256"/>
      <c r="Q84" s="1256"/>
      <c r="R84" s="1256"/>
      <c r="S84" s="1256"/>
      <c r="T84" s="1256"/>
      <c r="U84" s="1256"/>
      <c r="V84" s="1256"/>
      <c r="W84" s="1256"/>
      <c r="X84" s="1256"/>
      <c r="Y84" s="1256"/>
      <c r="Z84" s="1258"/>
      <c r="AA84" s="763"/>
      <c r="AC84" s="57">
        <f>EOMONTH('Food-Data Entry'!AM3,-1)+1</f>
        <v>45962</v>
      </c>
    </row>
    <row r="85" spans="1:29" ht="22.5" customHeight="1" thickBot="1">
      <c r="A85" s="776"/>
      <c r="B85" s="1259"/>
      <c r="C85" s="1260"/>
      <c r="D85" s="1261"/>
      <c r="E85" s="1262" t="s">
        <v>171</v>
      </c>
      <c r="F85" s="1263"/>
      <c r="G85" s="1263"/>
      <c r="H85" s="1263"/>
      <c r="I85" s="1263"/>
      <c r="J85" s="1263"/>
      <c r="K85" s="1263"/>
      <c r="L85" s="1263"/>
      <c r="M85" s="1263"/>
      <c r="N85" s="1263"/>
      <c r="O85" s="1263"/>
      <c r="P85" s="1264" t="str">
        <f>P44</f>
        <v>Month:-November-2025</v>
      </c>
      <c r="Q85" s="1265"/>
      <c r="R85" s="1265"/>
      <c r="S85" s="1265"/>
      <c r="T85" s="1265"/>
      <c r="U85" s="1265"/>
      <c r="V85" s="1265"/>
      <c r="W85" s="1265"/>
      <c r="X85" s="1265"/>
      <c r="Y85" s="1265"/>
      <c r="Z85" s="1266"/>
      <c r="AA85" s="763"/>
      <c r="AC85" s="58">
        <f>EOMONTH('Food-Data Entry'!AM3,0)</f>
        <v>45991</v>
      </c>
    </row>
    <row r="86" spans="1:29" ht="21" thickBot="1">
      <c r="A86" s="776"/>
      <c r="B86" s="1267" t="s">
        <v>122</v>
      </c>
      <c r="C86" s="1271" t="s">
        <v>123</v>
      </c>
      <c r="D86" s="1275" t="s">
        <v>51</v>
      </c>
      <c r="E86" s="1278" t="s">
        <v>140</v>
      </c>
      <c r="F86" s="1279"/>
      <c r="G86" s="1279"/>
      <c r="H86" s="1279"/>
      <c r="I86" s="1279"/>
      <c r="J86" s="1279"/>
      <c r="K86" s="1279"/>
      <c r="L86" s="1279"/>
      <c r="M86" s="1279"/>
      <c r="N86" s="1279"/>
      <c r="O86" s="1279"/>
      <c r="P86" s="1280"/>
      <c r="Q86" s="1281" t="s">
        <v>169</v>
      </c>
      <c r="R86" s="1282"/>
      <c r="S86" s="1282"/>
      <c r="T86" s="1282"/>
      <c r="U86" s="1282"/>
      <c r="V86" s="1282"/>
      <c r="W86" s="1282"/>
      <c r="X86" s="1282"/>
      <c r="Y86" s="1283"/>
      <c r="Z86" s="1284" t="s">
        <v>124</v>
      </c>
      <c r="AA86" s="763"/>
    </row>
    <row r="87" spans="1:29" ht="26.25" customHeight="1">
      <c r="A87" s="776"/>
      <c r="B87" s="1268"/>
      <c r="C87" s="1272"/>
      <c r="D87" s="1276"/>
      <c r="E87" s="1287" t="s">
        <v>125</v>
      </c>
      <c r="F87" s="1288"/>
      <c r="G87" s="1287" t="s">
        <v>154</v>
      </c>
      <c r="H87" s="1288"/>
      <c r="I87" s="1287" t="s">
        <v>155</v>
      </c>
      <c r="J87" s="1288"/>
      <c r="K87" s="1289" t="s">
        <v>126</v>
      </c>
      <c r="L87" s="1290"/>
      <c r="M87" s="1287" t="s">
        <v>143</v>
      </c>
      <c r="N87" s="1288"/>
      <c r="O87" s="1291" t="s">
        <v>127</v>
      </c>
      <c r="P87" s="1292"/>
      <c r="Q87" s="1293" t="s">
        <v>156</v>
      </c>
      <c r="R87" s="1294"/>
      <c r="S87" s="1295"/>
      <c r="T87" s="1293" t="s">
        <v>157</v>
      </c>
      <c r="U87" s="1294"/>
      <c r="V87" s="1295"/>
      <c r="W87" s="1293" t="s">
        <v>158</v>
      </c>
      <c r="X87" s="1294"/>
      <c r="Y87" s="1295"/>
      <c r="Z87" s="1285"/>
      <c r="AA87" s="763"/>
    </row>
    <row r="88" spans="1:29" ht="15" customHeight="1">
      <c r="A88" s="776"/>
      <c r="B88" s="1269"/>
      <c r="C88" s="1273"/>
      <c r="D88" s="1276"/>
      <c r="E88" s="1296" t="s">
        <v>172</v>
      </c>
      <c r="F88" s="1297"/>
      <c r="G88" s="1296" t="s">
        <v>172</v>
      </c>
      <c r="H88" s="1297"/>
      <c r="I88" s="1296" t="s">
        <v>172</v>
      </c>
      <c r="J88" s="1297"/>
      <c r="K88" s="1298" t="s">
        <v>172</v>
      </c>
      <c r="L88" s="1299"/>
      <c r="M88" s="1296" t="s">
        <v>172</v>
      </c>
      <c r="N88" s="1297"/>
      <c r="O88" s="1298" t="s">
        <v>172</v>
      </c>
      <c r="P88" s="1299"/>
      <c r="Q88" s="1300" t="s">
        <v>172</v>
      </c>
      <c r="R88" s="1301"/>
      <c r="S88" s="1302"/>
      <c r="T88" s="1300" t="s">
        <v>172</v>
      </c>
      <c r="U88" s="1301"/>
      <c r="V88" s="1302"/>
      <c r="W88" s="1300" t="s">
        <v>172</v>
      </c>
      <c r="X88" s="1301"/>
      <c r="Y88" s="1302"/>
      <c r="Z88" s="1285"/>
      <c r="AA88" s="763"/>
    </row>
    <row r="89" spans="1:29" ht="16.5" customHeight="1" thickBot="1">
      <c r="A89" s="776"/>
      <c r="B89" s="1270"/>
      <c r="C89" s="1274"/>
      <c r="D89" s="1277"/>
      <c r="E89" s="66" t="s">
        <v>141</v>
      </c>
      <c r="F89" s="81" t="s">
        <v>142</v>
      </c>
      <c r="G89" s="66" t="s">
        <v>141</v>
      </c>
      <c r="H89" s="81" t="s">
        <v>142</v>
      </c>
      <c r="I89" s="66" t="s">
        <v>141</v>
      </c>
      <c r="J89" s="81" t="s">
        <v>142</v>
      </c>
      <c r="K89" s="92" t="s">
        <v>141</v>
      </c>
      <c r="L89" s="93" t="s">
        <v>142</v>
      </c>
      <c r="M89" s="66" t="s">
        <v>141</v>
      </c>
      <c r="N89" s="81" t="s">
        <v>142</v>
      </c>
      <c r="O89" s="92" t="s">
        <v>141</v>
      </c>
      <c r="P89" s="94" t="s">
        <v>142</v>
      </c>
      <c r="Q89" s="34" t="s">
        <v>159</v>
      </c>
      <c r="R89" s="35" t="s">
        <v>160</v>
      </c>
      <c r="S89" s="82" t="s">
        <v>130</v>
      </c>
      <c r="T89" s="34" t="s">
        <v>159</v>
      </c>
      <c r="U89" s="35" t="s">
        <v>160</v>
      </c>
      <c r="V89" s="82" t="s">
        <v>130</v>
      </c>
      <c r="W89" s="34" t="s">
        <v>159</v>
      </c>
      <c r="X89" s="35" t="s">
        <v>160</v>
      </c>
      <c r="Y89" s="82" t="s">
        <v>130</v>
      </c>
      <c r="Z89" s="1286"/>
      <c r="AA89" s="763"/>
    </row>
    <row r="90" spans="1:29" s="37" customFormat="1" ht="17.25" customHeight="1">
      <c r="A90" s="776"/>
      <c r="B90" s="47">
        <f>IF(C90&lt;AC85,1,0)</f>
        <v>1</v>
      </c>
      <c r="C90" s="48">
        <f>'Food-Data Entry'!L7</f>
        <v>45962</v>
      </c>
      <c r="D90" s="49" t="str">
        <f>'Food-Data Entry'!O7</f>
        <v>Saturday</v>
      </c>
      <c r="E90" s="564">
        <f>'Food Stock 1-8'!E8+'Food Stock 1-8'!E49</f>
        <v>806.7</v>
      </c>
      <c r="F90" s="565">
        <f>'Food Stock 1-8'!F8+'Food Stock 1-8'!F49</f>
        <v>327.7</v>
      </c>
      <c r="G90" s="564">
        <f>'Food Stock 1-8'!G8+'Food Stock 1-8'!G49</f>
        <v>0</v>
      </c>
      <c r="H90" s="565">
        <f>'Food Stock 1-8'!H8+'Food Stock 1-8'!H49</f>
        <v>0</v>
      </c>
      <c r="I90" s="564">
        <f>'Food Stock 1-8'!I8+'Food Stock 1-8'!I49</f>
        <v>0</v>
      </c>
      <c r="J90" s="565">
        <f>'Food Stock 1-8'!J8+'Food Stock 1-8'!J49</f>
        <v>0</v>
      </c>
      <c r="K90" s="566">
        <f>'Food Stock 1-8'!K8+'Food Stock 1-8'!K49</f>
        <v>806.7</v>
      </c>
      <c r="L90" s="567">
        <f>'Food Stock 1-8'!L8+'Food Stock 1-8'!L49</f>
        <v>327.7</v>
      </c>
      <c r="M90" s="564">
        <f>'Food Stock 1-8'!M8+'Food Stock 1-8'!M49</f>
        <v>7.8</v>
      </c>
      <c r="N90" s="565">
        <f>'Food Stock 1-8'!N8+'Food Stock 1-8'!N49</f>
        <v>0</v>
      </c>
      <c r="O90" s="566">
        <f>'Food Stock 1-8'!O8+'Food Stock 1-8'!O49</f>
        <v>798.9</v>
      </c>
      <c r="P90" s="568">
        <f>'Food Stock 1-8'!P8+'Food Stock 1-8'!P49</f>
        <v>327.7</v>
      </c>
      <c r="Q90" s="95">
        <f>'Food Stock 1-8'!Q8+'Food Stock 1-8'!Q49</f>
        <v>280</v>
      </c>
      <c r="R90" s="96">
        <f>'Food Stock 1-8'!R8+'Food Stock 1-8'!R49</f>
        <v>368</v>
      </c>
      <c r="S90" s="98">
        <f>'Food Stock 1-8'!S8+'Food Stock 1-8'!S49</f>
        <v>648</v>
      </c>
      <c r="T90" s="95">
        <f>'Food Stock 1-8'!T8+'Food Stock 1-8'!T49</f>
        <v>35</v>
      </c>
      <c r="U90" s="97">
        <f>'Food Stock 1-8'!U8+'Food Stock 1-8'!U49</f>
        <v>37</v>
      </c>
      <c r="V90" s="98">
        <f>'Food Stock 1-8'!V8+'Food Stock 1-8'!V49</f>
        <v>72</v>
      </c>
      <c r="W90" s="95">
        <f>'Food Stock 1-8'!W8+'Food Stock 1-8'!W49</f>
        <v>35</v>
      </c>
      <c r="X90" s="97">
        <f>'Food Stock 1-8'!X8+'Food Stock 1-8'!X49</f>
        <v>37</v>
      </c>
      <c r="Y90" s="98">
        <f>'Food Stock 1-8'!Y8+'Food Stock 1-8'!Y49</f>
        <v>72</v>
      </c>
      <c r="Z90" s="50"/>
      <c r="AA90" s="763"/>
      <c r="AB90" s="36" t="e">
        <f>#REF!+#REF!+#REF!+#REF!</f>
        <v>#REF!</v>
      </c>
    </row>
    <row r="91" spans="1:29" s="37" customFormat="1" ht="17.25" customHeight="1">
      <c r="A91" s="776"/>
      <c r="B91" s="47">
        <f t="shared" ref="B91:B120" si="22">IF(C91&lt;=$AC$85,B90+1,0)</f>
        <v>2</v>
      </c>
      <c r="C91" s="48">
        <f>'Food-Data Entry'!L8</f>
        <v>45963</v>
      </c>
      <c r="D91" s="49" t="str">
        <f>'Food-Data Entry'!O8</f>
        <v>Holiday</v>
      </c>
      <c r="E91" s="569">
        <f>'Food Stock 1-8'!E9+'Food Stock 1-8'!E50</f>
        <v>798.9</v>
      </c>
      <c r="F91" s="570">
        <f>'Food Stock 1-8'!F9+'Food Stock 1-8'!F50</f>
        <v>327.7</v>
      </c>
      <c r="G91" s="569">
        <f>'Food Stock 1-8'!G9+'Food Stock 1-8'!G50</f>
        <v>0</v>
      </c>
      <c r="H91" s="570">
        <f>'Food Stock 1-8'!H9+'Food Stock 1-8'!H50</f>
        <v>0</v>
      </c>
      <c r="I91" s="569">
        <f>'Food Stock 1-8'!I9+'Food Stock 1-8'!I50</f>
        <v>0</v>
      </c>
      <c r="J91" s="570">
        <f>'Food Stock 1-8'!J9+'Food Stock 1-8'!J50</f>
        <v>0</v>
      </c>
      <c r="K91" s="571">
        <f>'Food Stock 1-8'!K9+'Food Stock 1-8'!K50</f>
        <v>798.9</v>
      </c>
      <c r="L91" s="572">
        <f>'Food Stock 1-8'!L9+'Food Stock 1-8'!L50</f>
        <v>327.7</v>
      </c>
      <c r="M91" s="569">
        <f>'Food Stock 1-8'!M9+'Food Stock 1-8'!M50</f>
        <v>0</v>
      </c>
      <c r="N91" s="570">
        <f>'Food Stock 1-8'!N9+'Food Stock 1-8'!N50</f>
        <v>0</v>
      </c>
      <c r="O91" s="571">
        <f>'Food Stock 1-8'!O9+'Food Stock 1-8'!O50</f>
        <v>798.9</v>
      </c>
      <c r="P91" s="573">
        <f>'Food Stock 1-8'!P9+'Food Stock 1-8'!P50</f>
        <v>327.7</v>
      </c>
      <c r="Q91" s="99">
        <f>'Food Stock 1-8'!Q9+'Food Stock 1-8'!Q50</f>
        <v>280</v>
      </c>
      <c r="R91" s="100">
        <f>'Food Stock 1-8'!R9+'Food Stock 1-8'!R50</f>
        <v>368</v>
      </c>
      <c r="S91" s="103">
        <f>'Food Stock 1-8'!S9+'Food Stock 1-8'!S50</f>
        <v>648</v>
      </c>
      <c r="T91" s="99">
        <f>'Food Stock 1-8'!T9+'Food Stock 1-8'!T50</f>
        <v>0</v>
      </c>
      <c r="U91" s="100">
        <f>'Food Stock 1-8'!U9+'Food Stock 1-8'!U50</f>
        <v>0</v>
      </c>
      <c r="V91" s="103">
        <f>'Food Stock 1-8'!V9+'Food Stock 1-8'!V50</f>
        <v>0</v>
      </c>
      <c r="W91" s="99">
        <f>'Food Stock 1-8'!W9+'Food Stock 1-8'!W50</f>
        <v>0</v>
      </c>
      <c r="X91" s="100">
        <f>'Food Stock 1-8'!X9+'Food Stock 1-8'!X50</f>
        <v>0</v>
      </c>
      <c r="Y91" s="103">
        <f>'Food Stock 1-8'!Y9+'Food Stock 1-8'!Y50</f>
        <v>0</v>
      </c>
      <c r="Z91" s="51"/>
      <c r="AA91" s="763"/>
      <c r="AB91" s="36" t="e">
        <f>#REF!+#REF!+#REF!+#REF!</f>
        <v>#REF!</v>
      </c>
    </row>
    <row r="92" spans="1:29" s="37" customFormat="1" ht="17.25" customHeight="1">
      <c r="A92" s="776"/>
      <c r="B92" s="47">
        <f t="shared" si="22"/>
        <v>3</v>
      </c>
      <c r="C92" s="48">
        <f>'Food-Data Entry'!L9</f>
        <v>45964</v>
      </c>
      <c r="D92" s="49" t="str">
        <f>'Food-Data Entry'!O9</f>
        <v>Monday</v>
      </c>
      <c r="E92" s="569">
        <f>'Food Stock 1-8'!E10+'Food Stock 1-8'!E51</f>
        <v>798.9</v>
      </c>
      <c r="F92" s="570">
        <f>'Food Stock 1-8'!F10+'Food Stock 1-8'!F51</f>
        <v>327.7</v>
      </c>
      <c r="G92" s="569">
        <f>'Food Stock 1-8'!G10+'Food Stock 1-8'!G51</f>
        <v>0</v>
      </c>
      <c r="H92" s="570">
        <f>'Food Stock 1-8'!H10+'Food Stock 1-8'!H51</f>
        <v>0</v>
      </c>
      <c r="I92" s="569">
        <f>'Food Stock 1-8'!I10+'Food Stock 1-8'!I51</f>
        <v>0</v>
      </c>
      <c r="J92" s="570">
        <f>'Food Stock 1-8'!J10+'Food Stock 1-8'!J51</f>
        <v>0</v>
      </c>
      <c r="K92" s="571">
        <f>'Food Stock 1-8'!K10+'Food Stock 1-8'!K51</f>
        <v>798.9</v>
      </c>
      <c r="L92" s="572">
        <f>'Food Stock 1-8'!L10+'Food Stock 1-8'!L51</f>
        <v>327.7</v>
      </c>
      <c r="M92" s="569">
        <f>'Food Stock 1-8'!M10+'Food Stock 1-8'!M51</f>
        <v>11.9</v>
      </c>
      <c r="N92" s="570">
        <f>'Food Stock 1-8'!N10+'Food Stock 1-8'!N51</f>
        <v>0</v>
      </c>
      <c r="O92" s="571">
        <f>'Food Stock 1-8'!O10+'Food Stock 1-8'!O51</f>
        <v>787</v>
      </c>
      <c r="P92" s="573">
        <f>'Food Stock 1-8'!P10+'Food Stock 1-8'!P51</f>
        <v>327.7</v>
      </c>
      <c r="Q92" s="99">
        <f>'Food Stock 1-8'!Q10+'Food Stock 1-8'!Q51</f>
        <v>280</v>
      </c>
      <c r="R92" s="100">
        <f>'Food Stock 1-8'!R10+'Food Stock 1-8'!R51</f>
        <v>368</v>
      </c>
      <c r="S92" s="103">
        <f>'Food Stock 1-8'!S10+'Food Stock 1-8'!S51</f>
        <v>648</v>
      </c>
      <c r="T92" s="99">
        <f>'Food Stock 1-8'!T10+'Food Stock 1-8'!T51</f>
        <v>57</v>
      </c>
      <c r="U92" s="100">
        <f>'Food Stock 1-8'!U10+'Food Stock 1-8'!U51</f>
        <v>56</v>
      </c>
      <c r="V92" s="103">
        <f>'Food Stock 1-8'!V10+'Food Stock 1-8'!V51</f>
        <v>113</v>
      </c>
      <c r="W92" s="99">
        <f>'Food Stock 1-8'!W10+'Food Stock 1-8'!W51</f>
        <v>57</v>
      </c>
      <c r="X92" s="100">
        <f>'Food Stock 1-8'!X10+'Food Stock 1-8'!X51</f>
        <v>56</v>
      </c>
      <c r="Y92" s="103">
        <f>'Food Stock 1-8'!Y10+'Food Stock 1-8'!Y51</f>
        <v>113</v>
      </c>
      <c r="Z92" s="51"/>
      <c r="AA92" s="763"/>
      <c r="AB92" s="36" t="e">
        <f>#REF!+#REF!+#REF!+#REF!</f>
        <v>#REF!</v>
      </c>
    </row>
    <row r="93" spans="1:29" s="37" customFormat="1" ht="17.25" customHeight="1">
      <c r="A93" s="776"/>
      <c r="B93" s="47">
        <f t="shared" si="22"/>
        <v>4</v>
      </c>
      <c r="C93" s="48">
        <f>'Food-Data Entry'!L10</f>
        <v>45965</v>
      </c>
      <c r="D93" s="49" t="str">
        <f>'Food-Data Entry'!O10</f>
        <v>Tuesday</v>
      </c>
      <c r="E93" s="569">
        <f>'Food Stock 1-8'!E11+'Food Stock 1-8'!E52</f>
        <v>787</v>
      </c>
      <c r="F93" s="570">
        <f>'Food Stock 1-8'!F11+'Food Stock 1-8'!F52</f>
        <v>327.7</v>
      </c>
      <c r="G93" s="569">
        <f>'Food Stock 1-8'!G11+'Food Stock 1-8'!G52</f>
        <v>0</v>
      </c>
      <c r="H93" s="570">
        <f>'Food Stock 1-8'!H11+'Food Stock 1-8'!H52</f>
        <v>0</v>
      </c>
      <c r="I93" s="569">
        <f>'Food Stock 1-8'!I11+'Food Stock 1-8'!I52</f>
        <v>0</v>
      </c>
      <c r="J93" s="570">
        <f>'Food Stock 1-8'!J11+'Food Stock 1-8'!J52</f>
        <v>0</v>
      </c>
      <c r="K93" s="571">
        <f>'Food Stock 1-8'!K11+'Food Stock 1-8'!K52</f>
        <v>787</v>
      </c>
      <c r="L93" s="572">
        <f>'Food Stock 1-8'!L11+'Food Stock 1-8'!L52</f>
        <v>327.7</v>
      </c>
      <c r="M93" s="569">
        <f>'Food Stock 1-8'!M11+'Food Stock 1-8'!M52</f>
        <v>0</v>
      </c>
      <c r="N93" s="570">
        <f>'Food Stock 1-8'!N11+'Food Stock 1-8'!N52</f>
        <v>4.3</v>
      </c>
      <c r="O93" s="571">
        <f>'Food Stock 1-8'!O11+'Food Stock 1-8'!O52</f>
        <v>787</v>
      </c>
      <c r="P93" s="573">
        <f>'Food Stock 1-8'!P11+'Food Stock 1-8'!P52</f>
        <v>323.39999999999998</v>
      </c>
      <c r="Q93" s="99">
        <f>'Food Stock 1-8'!Q11+'Food Stock 1-8'!Q52</f>
        <v>280</v>
      </c>
      <c r="R93" s="100">
        <f>'Food Stock 1-8'!R11+'Food Stock 1-8'!R52</f>
        <v>368</v>
      </c>
      <c r="S93" s="103">
        <f>'Food Stock 1-8'!S11+'Food Stock 1-8'!S52</f>
        <v>648</v>
      </c>
      <c r="T93" s="99">
        <f>'Food Stock 1-8'!T11+'Food Stock 1-8'!T52</f>
        <v>15</v>
      </c>
      <c r="U93" s="100">
        <f>'Food Stock 1-8'!U11+'Food Stock 1-8'!U52</f>
        <v>22</v>
      </c>
      <c r="V93" s="103">
        <f>'Food Stock 1-8'!V11+'Food Stock 1-8'!V52</f>
        <v>37</v>
      </c>
      <c r="W93" s="99">
        <f>'Food Stock 1-8'!W11+'Food Stock 1-8'!W52</f>
        <v>15</v>
      </c>
      <c r="X93" s="100">
        <f>'Food Stock 1-8'!X11+'Food Stock 1-8'!X52</f>
        <v>22</v>
      </c>
      <c r="Y93" s="103">
        <f>'Food Stock 1-8'!Y11+'Food Stock 1-8'!Y52</f>
        <v>37</v>
      </c>
      <c r="Z93" s="51"/>
      <c r="AA93" s="763"/>
      <c r="AB93" s="36" t="e">
        <f>#REF!+#REF!+#REF!+#REF!</f>
        <v>#REF!</v>
      </c>
    </row>
    <row r="94" spans="1:29" s="37" customFormat="1" ht="17.25" customHeight="1">
      <c r="A94" s="776"/>
      <c r="B94" s="47">
        <f t="shared" si="22"/>
        <v>5</v>
      </c>
      <c r="C94" s="48">
        <f>'Food-Data Entry'!L11</f>
        <v>45966</v>
      </c>
      <c r="D94" s="49" t="str">
        <f>'Food-Data Entry'!O11</f>
        <v>Wednesday</v>
      </c>
      <c r="E94" s="569">
        <f>'Food Stock 1-8'!E12+'Food Stock 1-8'!E53</f>
        <v>787</v>
      </c>
      <c r="F94" s="570">
        <f>'Food Stock 1-8'!F12+'Food Stock 1-8'!F53</f>
        <v>323.39999999999998</v>
      </c>
      <c r="G94" s="569">
        <f>'Food Stock 1-8'!G12+'Food Stock 1-8'!G53</f>
        <v>0</v>
      </c>
      <c r="H94" s="570">
        <f>'Food Stock 1-8'!H12+'Food Stock 1-8'!H53</f>
        <v>0</v>
      </c>
      <c r="I94" s="569">
        <f>'Food Stock 1-8'!I12+'Food Stock 1-8'!I53</f>
        <v>0</v>
      </c>
      <c r="J94" s="570">
        <f>'Food Stock 1-8'!J12+'Food Stock 1-8'!J53</f>
        <v>0</v>
      </c>
      <c r="K94" s="571">
        <f>'Food Stock 1-8'!K12+'Food Stock 1-8'!K53</f>
        <v>787</v>
      </c>
      <c r="L94" s="572">
        <f>'Food Stock 1-8'!L12+'Food Stock 1-8'!L53</f>
        <v>323.39999999999998</v>
      </c>
      <c r="M94" s="569">
        <f>'Food Stock 1-8'!M12+'Food Stock 1-8'!M53</f>
        <v>4.3</v>
      </c>
      <c r="N94" s="570">
        <f>'Food Stock 1-8'!N12+'Food Stock 1-8'!N53</f>
        <v>0</v>
      </c>
      <c r="O94" s="571">
        <f>'Food Stock 1-8'!O12+'Food Stock 1-8'!O53</f>
        <v>782.69999999999993</v>
      </c>
      <c r="P94" s="573">
        <f>'Food Stock 1-8'!P12+'Food Stock 1-8'!P53</f>
        <v>323.39999999999998</v>
      </c>
      <c r="Q94" s="99">
        <f>'Food Stock 1-8'!Q12+'Food Stock 1-8'!Q53</f>
        <v>280</v>
      </c>
      <c r="R94" s="100">
        <f>'Food Stock 1-8'!R12+'Food Stock 1-8'!R53</f>
        <v>368</v>
      </c>
      <c r="S94" s="103">
        <f>'Food Stock 1-8'!S12+'Food Stock 1-8'!S53</f>
        <v>648</v>
      </c>
      <c r="T94" s="99">
        <f>'Food Stock 1-8'!T12+'Food Stock 1-8'!T53</f>
        <v>15</v>
      </c>
      <c r="U94" s="100">
        <f>'Food Stock 1-8'!U12+'Food Stock 1-8'!U53</f>
        <v>22</v>
      </c>
      <c r="V94" s="103">
        <f>'Food Stock 1-8'!V12+'Food Stock 1-8'!V53</f>
        <v>37</v>
      </c>
      <c r="W94" s="99">
        <f>'Food Stock 1-8'!W12+'Food Stock 1-8'!W53</f>
        <v>15</v>
      </c>
      <c r="X94" s="100">
        <f>'Food Stock 1-8'!X12+'Food Stock 1-8'!X53</f>
        <v>22</v>
      </c>
      <c r="Y94" s="103">
        <f>'Food Stock 1-8'!Y12+'Food Stock 1-8'!Y53</f>
        <v>37</v>
      </c>
      <c r="Z94" s="51"/>
      <c r="AA94" s="763"/>
      <c r="AB94" s="36" t="e">
        <f>#REF!+#REF!+#REF!+#REF!</f>
        <v>#REF!</v>
      </c>
    </row>
    <row r="95" spans="1:29" s="37" customFormat="1" ht="17.25" customHeight="1">
      <c r="A95" s="776"/>
      <c r="B95" s="47">
        <f t="shared" si="22"/>
        <v>6</v>
      </c>
      <c r="C95" s="48">
        <f>'Food-Data Entry'!L12</f>
        <v>45967</v>
      </c>
      <c r="D95" s="49" t="str">
        <f>'Food-Data Entry'!O12</f>
        <v>Thursday</v>
      </c>
      <c r="E95" s="569">
        <f>'Food Stock 1-8'!E13+'Food Stock 1-8'!E54</f>
        <v>782.69999999999993</v>
      </c>
      <c r="F95" s="570">
        <f>'Food Stock 1-8'!F13+'Food Stock 1-8'!F54</f>
        <v>323.39999999999998</v>
      </c>
      <c r="G95" s="569">
        <f>'Food Stock 1-8'!G13+'Food Stock 1-8'!G54</f>
        <v>0</v>
      </c>
      <c r="H95" s="570">
        <f>'Food Stock 1-8'!H13+'Food Stock 1-8'!H54</f>
        <v>0</v>
      </c>
      <c r="I95" s="569">
        <f>'Food Stock 1-8'!I13+'Food Stock 1-8'!I54</f>
        <v>0</v>
      </c>
      <c r="J95" s="570">
        <f>'Food Stock 1-8'!J13+'Food Stock 1-8'!J54</f>
        <v>0</v>
      </c>
      <c r="K95" s="571">
        <f>'Food Stock 1-8'!K13+'Food Stock 1-8'!K54</f>
        <v>782.69999999999993</v>
      </c>
      <c r="L95" s="572">
        <f>'Food Stock 1-8'!L13+'Food Stock 1-8'!L54</f>
        <v>323.39999999999998</v>
      </c>
      <c r="M95" s="569">
        <f>'Food Stock 1-8'!M13+'Food Stock 1-8'!M54</f>
        <v>0</v>
      </c>
      <c r="N95" s="570">
        <f>'Food Stock 1-8'!N13+'Food Stock 1-8'!N54</f>
        <v>4.3</v>
      </c>
      <c r="O95" s="571">
        <f>'Food Stock 1-8'!O13+'Food Stock 1-8'!O54</f>
        <v>782.69999999999993</v>
      </c>
      <c r="P95" s="573">
        <f>'Food Stock 1-8'!P13+'Food Stock 1-8'!P54</f>
        <v>319.09999999999997</v>
      </c>
      <c r="Q95" s="99">
        <f>'Food Stock 1-8'!Q13+'Food Stock 1-8'!Q54</f>
        <v>280</v>
      </c>
      <c r="R95" s="100">
        <f>'Food Stock 1-8'!R13+'Food Stock 1-8'!R54</f>
        <v>368</v>
      </c>
      <c r="S95" s="103">
        <f>'Food Stock 1-8'!S13+'Food Stock 1-8'!S54</f>
        <v>648</v>
      </c>
      <c r="T95" s="99">
        <f>'Food Stock 1-8'!T13+'Food Stock 1-8'!T54</f>
        <v>15</v>
      </c>
      <c r="U95" s="100">
        <f>'Food Stock 1-8'!U13+'Food Stock 1-8'!U54</f>
        <v>22</v>
      </c>
      <c r="V95" s="103">
        <f>'Food Stock 1-8'!V13+'Food Stock 1-8'!V54</f>
        <v>37</v>
      </c>
      <c r="W95" s="99">
        <f>'Food Stock 1-8'!W13+'Food Stock 1-8'!W54</f>
        <v>15</v>
      </c>
      <c r="X95" s="100">
        <f>'Food Stock 1-8'!X13+'Food Stock 1-8'!X54</f>
        <v>22</v>
      </c>
      <c r="Y95" s="103">
        <f>'Food Stock 1-8'!Y13+'Food Stock 1-8'!Y54</f>
        <v>37</v>
      </c>
      <c r="Z95" s="51"/>
      <c r="AA95" s="763"/>
      <c r="AB95" s="36" t="e">
        <f>#REF!+#REF!+#REF!+#REF!</f>
        <v>#REF!</v>
      </c>
    </row>
    <row r="96" spans="1:29" s="37" customFormat="1" ht="17.25" customHeight="1">
      <c r="A96" s="776"/>
      <c r="B96" s="47">
        <f t="shared" si="22"/>
        <v>7</v>
      </c>
      <c r="C96" s="48">
        <f>'Food-Data Entry'!L13</f>
        <v>45968</v>
      </c>
      <c r="D96" s="49" t="str">
        <f>'Food-Data Entry'!O13</f>
        <v>Friday</v>
      </c>
      <c r="E96" s="569">
        <f>'Food Stock 1-8'!E14+'Food Stock 1-8'!E55</f>
        <v>782.69999999999993</v>
      </c>
      <c r="F96" s="570">
        <f>'Food Stock 1-8'!F14+'Food Stock 1-8'!F55</f>
        <v>319.09999999999997</v>
      </c>
      <c r="G96" s="569">
        <f>'Food Stock 1-8'!G14+'Food Stock 1-8'!G55</f>
        <v>0</v>
      </c>
      <c r="H96" s="570">
        <f>'Food Stock 1-8'!H14+'Food Stock 1-8'!H55</f>
        <v>0</v>
      </c>
      <c r="I96" s="569">
        <f>'Food Stock 1-8'!I14+'Food Stock 1-8'!I55</f>
        <v>0</v>
      </c>
      <c r="J96" s="570">
        <f>'Food Stock 1-8'!J14+'Food Stock 1-8'!J55</f>
        <v>0</v>
      </c>
      <c r="K96" s="571">
        <f>'Food Stock 1-8'!K14+'Food Stock 1-8'!K55</f>
        <v>782.69999999999993</v>
      </c>
      <c r="L96" s="572">
        <f>'Food Stock 1-8'!L14+'Food Stock 1-8'!L55</f>
        <v>319.09999999999997</v>
      </c>
      <c r="M96" s="569">
        <f>'Food Stock 1-8'!M14+'Food Stock 1-8'!M55</f>
        <v>4.3</v>
      </c>
      <c r="N96" s="570">
        <f>'Food Stock 1-8'!N14+'Food Stock 1-8'!N55</f>
        <v>0</v>
      </c>
      <c r="O96" s="571">
        <f>'Food Stock 1-8'!O14+'Food Stock 1-8'!O55</f>
        <v>778.39999999999986</v>
      </c>
      <c r="P96" s="573">
        <f>'Food Stock 1-8'!P14+'Food Stock 1-8'!P55</f>
        <v>319.09999999999997</v>
      </c>
      <c r="Q96" s="99">
        <f>'Food Stock 1-8'!Q14+'Food Stock 1-8'!Q55</f>
        <v>280</v>
      </c>
      <c r="R96" s="100">
        <f>'Food Stock 1-8'!R14+'Food Stock 1-8'!R55</f>
        <v>368</v>
      </c>
      <c r="S96" s="103">
        <f>'Food Stock 1-8'!S14+'Food Stock 1-8'!S55</f>
        <v>648</v>
      </c>
      <c r="T96" s="99">
        <f>'Food Stock 1-8'!T14+'Food Stock 1-8'!T55</f>
        <v>15</v>
      </c>
      <c r="U96" s="100">
        <f>'Food Stock 1-8'!U14+'Food Stock 1-8'!U55</f>
        <v>22</v>
      </c>
      <c r="V96" s="103">
        <f>'Food Stock 1-8'!V14+'Food Stock 1-8'!V55</f>
        <v>37</v>
      </c>
      <c r="W96" s="99">
        <f>'Food Stock 1-8'!W14+'Food Stock 1-8'!W55</f>
        <v>15</v>
      </c>
      <c r="X96" s="100">
        <f>'Food Stock 1-8'!X14+'Food Stock 1-8'!X55</f>
        <v>22</v>
      </c>
      <c r="Y96" s="103">
        <f>'Food Stock 1-8'!Y14+'Food Stock 1-8'!Y55</f>
        <v>37</v>
      </c>
      <c r="Z96" s="51"/>
      <c r="AA96" s="763"/>
      <c r="AB96" s="36" t="e">
        <f>#REF!+#REF!+#REF!+#REF!</f>
        <v>#REF!</v>
      </c>
    </row>
    <row r="97" spans="1:28" s="37" customFormat="1" ht="17.25" customHeight="1">
      <c r="A97" s="776"/>
      <c r="B97" s="47">
        <f t="shared" si="22"/>
        <v>8</v>
      </c>
      <c r="C97" s="48">
        <f>'Food-Data Entry'!L14</f>
        <v>45969</v>
      </c>
      <c r="D97" s="49" t="str">
        <f>'Food-Data Entry'!O14</f>
        <v>Saturday</v>
      </c>
      <c r="E97" s="569">
        <f>'Food Stock 1-8'!E15+'Food Stock 1-8'!E56</f>
        <v>778.39999999999986</v>
      </c>
      <c r="F97" s="570">
        <f>'Food Stock 1-8'!F15+'Food Stock 1-8'!F56</f>
        <v>319.09999999999997</v>
      </c>
      <c r="G97" s="569">
        <f>'Food Stock 1-8'!G15+'Food Stock 1-8'!G56</f>
        <v>0</v>
      </c>
      <c r="H97" s="570">
        <f>'Food Stock 1-8'!H15+'Food Stock 1-8'!H56</f>
        <v>0</v>
      </c>
      <c r="I97" s="569">
        <f>'Food Stock 1-8'!I15+'Food Stock 1-8'!I56</f>
        <v>0</v>
      </c>
      <c r="J97" s="570">
        <f>'Food Stock 1-8'!J15+'Food Stock 1-8'!J56</f>
        <v>0</v>
      </c>
      <c r="K97" s="571">
        <f>'Food Stock 1-8'!K15+'Food Stock 1-8'!K56</f>
        <v>778.39999999999986</v>
      </c>
      <c r="L97" s="572">
        <f>'Food Stock 1-8'!L15+'Food Stock 1-8'!L56</f>
        <v>319.09999999999997</v>
      </c>
      <c r="M97" s="569">
        <f>'Food Stock 1-8'!M15+'Food Stock 1-8'!M56</f>
        <v>4.3</v>
      </c>
      <c r="N97" s="570">
        <f>'Food Stock 1-8'!N15+'Food Stock 1-8'!N56</f>
        <v>0</v>
      </c>
      <c r="O97" s="571">
        <f>'Food Stock 1-8'!O15+'Food Stock 1-8'!O56</f>
        <v>774.09999999999991</v>
      </c>
      <c r="P97" s="573">
        <f>'Food Stock 1-8'!P15+'Food Stock 1-8'!P56</f>
        <v>319.09999999999997</v>
      </c>
      <c r="Q97" s="99">
        <f>'Food Stock 1-8'!Q15+'Food Stock 1-8'!Q56</f>
        <v>280</v>
      </c>
      <c r="R97" s="100">
        <f>'Food Stock 1-8'!R15+'Food Stock 1-8'!R56</f>
        <v>368</v>
      </c>
      <c r="S97" s="103">
        <f>'Food Stock 1-8'!S15+'Food Stock 1-8'!S56</f>
        <v>648</v>
      </c>
      <c r="T97" s="99">
        <f>'Food Stock 1-8'!T15+'Food Stock 1-8'!T56</f>
        <v>15</v>
      </c>
      <c r="U97" s="100">
        <f>'Food Stock 1-8'!U15+'Food Stock 1-8'!U56</f>
        <v>22</v>
      </c>
      <c r="V97" s="103">
        <f>'Food Stock 1-8'!V15+'Food Stock 1-8'!V56</f>
        <v>37</v>
      </c>
      <c r="W97" s="99">
        <f>'Food Stock 1-8'!W15+'Food Stock 1-8'!W56</f>
        <v>15</v>
      </c>
      <c r="X97" s="100">
        <f>'Food Stock 1-8'!X15+'Food Stock 1-8'!X56</f>
        <v>22</v>
      </c>
      <c r="Y97" s="103">
        <f>'Food Stock 1-8'!Y15+'Food Stock 1-8'!Y56</f>
        <v>37</v>
      </c>
      <c r="Z97" s="51"/>
      <c r="AA97" s="763"/>
      <c r="AB97" s="36" t="e">
        <f>#REF!+#REF!+#REF!+#REF!</f>
        <v>#REF!</v>
      </c>
    </row>
    <row r="98" spans="1:28" s="37" customFormat="1" ht="17.25" customHeight="1">
      <c r="A98" s="776"/>
      <c r="B98" s="47">
        <f t="shared" si="22"/>
        <v>9</v>
      </c>
      <c r="C98" s="48">
        <f>'Food-Data Entry'!L15</f>
        <v>45970</v>
      </c>
      <c r="D98" s="49" t="str">
        <f>'Food-Data Entry'!O15</f>
        <v>Holiday</v>
      </c>
      <c r="E98" s="569">
        <f>'Food Stock 1-8'!E16+'Food Stock 1-8'!E57</f>
        <v>774.09999999999991</v>
      </c>
      <c r="F98" s="570">
        <f>'Food Stock 1-8'!F16+'Food Stock 1-8'!F57</f>
        <v>319.09999999999997</v>
      </c>
      <c r="G98" s="569">
        <f>'Food Stock 1-8'!G16+'Food Stock 1-8'!G57</f>
        <v>0</v>
      </c>
      <c r="H98" s="570">
        <f>'Food Stock 1-8'!H16+'Food Stock 1-8'!H57</f>
        <v>0</v>
      </c>
      <c r="I98" s="569">
        <f>'Food Stock 1-8'!I16+'Food Stock 1-8'!I57</f>
        <v>0</v>
      </c>
      <c r="J98" s="570">
        <f>'Food Stock 1-8'!J16+'Food Stock 1-8'!J57</f>
        <v>0</v>
      </c>
      <c r="K98" s="571">
        <f>'Food Stock 1-8'!K16+'Food Stock 1-8'!K57</f>
        <v>774.09999999999991</v>
      </c>
      <c r="L98" s="572">
        <f>'Food Stock 1-8'!L16+'Food Stock 1-8'!L57</f>
        <v>319.09999999999997</v>
      </c>
      <c r="M98" s="569">
        <f>'Food Stock 1-8'!M16+'Food Stock 1-8'!M57</f>
        <v>0</v>
      </c>
      <c r="N98" s="570">
        <f>'Food Stock 1-8'!N16+'Food Stock 1-8'!N57</f>
        <v>0</v>
      </c>
      <c r="O98" s="571">
        <f>'Food Stock 1-8'!O16+'Food Stock 1-8'!O57</f>
        <v>774.09999999999991</v>
      </c>
      <c r="P98" s="573">
        <f>'Food Stock 1-8'!P16+'Food Stock 1-8'!P57</f>
        <v>319.09999999999997</v>
      </c>
      <c r="Q98" s="99">
        <f>'Food Stock 1-8'!Q16+'Food Stock 1-8'!Q57</f>
        <v>280</v>
      </c>
      <c r="R98" s="100">
        <f>'Food Stock 1-8'!R16+'Food Stock 1-8'!R57</f>
        <v>368</v>
      </c>
      <c r="S98" s="103">
        <f>'Food Stock 1-8'!S16+'Food Stock 1-8'!S57</f>
        <v>648</v>
      </c>
      <c r="T98" s="99">
        <f>'Food Stock 1-8'!T16+'Food Stock 1-8'!T57</f>
        <v>0</v>
      </c>
      <c r="U98" s="100">
        <f>'Food Stock 1-8'!U16+'Food Stock 1-8'!U57</f>
        <v>0</v>
      </c>
      <c r="V98" s="103">
        <f>'Food Stock 1-8'!V16+'Food Stock 1-8'!V57</f>
        <v>0</v>
      </c>
      <c r="W98" s="99">
        <f>'Food Stock 1-8'!W16+'Food Stock 1-8'!W57</f>
        <v>0</v>
      </c>
      <c r="X98" s="100">
        <f>'Food Stock 1-8'!X16+'Food Stock 1-8'!X57</f>
        <v>0</v>
      </c>
      <c r="Y98" s="103">
        <f>'Food Stock 1-8'!Y16+'Food Stock 1-8'!Y57</f>
        <v>0</v>
      </c>
      <c r="Z98" s="51"/>
      <c r="AA98" s="763"/>
      <c r="AB98" s="36" t="e">
        <f>#REF!+#REF!+#REF!+#REF!</f>
        <v>#REF!</v>
      </c>
    </row>
    <row r="99" spans="1:28" s="37" customFormat="1" ht="17.25" customHeight="1">
      <c r="A99" s="776"/>
      <c r="B99" s="47">
        <f t="shared" si="22"/>
        <v>10</v>
      </c>
      <c r="C99" s="48">
        <f>'Food-Data Entry'!L16</f>
        <v>45971</v>
      </c>
      <c r="D99" s="49" t="str">
        <f>'Food-Data Entry'!O16</f>
        <v>Monday</v>
      </c>
      <c r="E99" s="569">
        <f>'Food Stock 1-8'!E17+'Food Stock 1-8'!E58</f>
        <v>774.09999999999991</v>
      </c>
      <c r="F99" s="570">
        <f>'Food Stock 1-8'!F17+'Food Stock 1-8'!F58</f>
        <v>319.09999999999997</v>
      </c>
      <c r="G99" s="569">
        <f>'Food Stock 1-8'!G17+'Food Stock 1-8'!G58</f>
        <v>0</v>
      </c>
      <c r="H99" s="570">
        <f>'Food Stock 1-8'!H17+'Food Stock 1-8'!H58</f>
        <v>0</v>
      </c>
      <c r="I99" s="569">
        <f>'Food Stock 1-8'!I17+'Food Stock 1-8'!I58</f>
        <v>0</v>
      </c>
      <c r="J99" s="570">
        <f>'Food Stock 1-8'!J17+'Food Stock 1-8'!J58</f>
        <v>0</v>
      </c>
      <c r="K99" s="571">
        <f>'Food Stock 1-8'!K17+'Food Stock 1-8'!K58</f>
        <v>774.09999999999991</v>
      </c>
      <c r="L99" s="572">
        <f>'Food Stock 1-8'!L17+'Food Stock 1-8'!L58</f>
        <v>319.09999999999997</v>
      </c>
      <c r="M99" s="569">
        <f>'Food Stock 1-8'!M17+'Food Stock 1-8'!M58</f>
        <v>4.3</v>
      </c>
      <c r="N99" s="570">
        <f>'Food Stock 1-8'!N17+'Food Stock 1-8'!N58</f>
        <v>0</v>
      </c>
      <c r="O99" s="571">
        <f>'Food Stock 1-8'!O17+'Food Stock 1-8'!O58</f>
        <v>769.8</v>
      </c>
      <c r="P99" s="573">
        <f>'Food Stock 1-8'!P17+'Food Stock 1-8'!P58</f>
        <v>319.09999999999997</v>
      </c>
      <c r="Q99" s="99">
        <f>'Food Stock 1-8'!Q17+'Food Stock 1-8'!Q58</f>
        <v>280</v>
      </c>
      <c r="R99" s="100">
        <f>'Food Stock 1-8'!R17+'Food Stock 1-8'!R58</f>
        <v>368</v>
      </c>
      <c r="S99" s="103">
        <f>'Food Stock 1-8'!S17+'Food Stock 1-8'!S58</f>
        <v>648</v>
      </c>
      <c r="T99" s="99">
        <f>'Food Stock 1-8'!T17+'Food Stock 1-8'!T58</f>
        <v>15</v>
      </c>
      <c r="U99" s="100">
        <f>'Food Stock 1-8'!U17+'Food Stock 1-8'!U58</f>
        <v>22</v>
      </c>
      <c r="V99" s="103">
        <f>'Food Stock 1-8'!V17+'Food Stock 1-8'!V58</f>
        <v>37</v>
      </c>
      <c r="W99" s="99">
        <f>'Food Stock 1-8'!W17+'Food Stock 1-8'!W58</f>
        <v>15</v>
      </c>
      <c r="X99" s="100">
        <f>'Food Stock 1-8'!X17+'Food Stock 1-8'!X58</f>
        <v>22</v>
      </c>
      <c r="Y99" s="103">
        <f>'Food Stock 1-8'!Y17+'Food Stock 1-8'!Y58</f>
        <v>37</v>
      </c>
      <c r="Z99" s="51"/>
      <c r="AA99" s="763"/>
      <c r="AB99" s="36" t="e">
        <f>#REF!+#REF!+#REF!+#REF!</f>
        <v>#REF!</v>
      </c>
    </row>
    <row r="100" spans="1:28" s="37" customFormat="1" ht="17.25" customHeight="1">
      <c r="A100" s="776"/>
      <c r="B100" s="47">
        <f t="shared" si="22"/>
        <v>11</v>
      </c>
      <c r="C100" s="48">
        <f>'Food-Data Entry'!L17</f>
        <v>45972</v>
      </c>
      <c r="D100" s="49" t="str">
        <f>'Food-Data Entry'!O17</f>
        <v>Tuesday</v>
      </c>
      <c r="E100" s="569">
        <f>'Food Stock 1-8'!E18+'Food Stock 1-8'!E59</f>
        <v>769.8</v>
      </c>
      <c r="F100" s="570">
        <f>'Food Stock 1-8'!F18+'Food Stock 1-8'!F59</f>
        <v>319.09999999999997</v>
      </c>
      <c r="G100" s="569">
        <f>'Food Stock 1-8'!G18+'Food Stock 1-8'!G59</f>
        <v>0</v>
      </c>
      <c r="H100" s="570">
        <f>'Food Stock 1-8'!H18+'Food Stock 1-8'!H59</f>
        <v>0</v>
      </c>
      <c r="I100" s="569">
        <f>'Food Stock 1-8'!I18+'Food Stock 1-8'!I59</f>
        <v>0</v>
      </c>
      <c r="J100" s="570">
        <f>'Food Stock 1-8'!J18+'Food Stock 1-8'!J59</f>
        <v>0</v>
      </c>
      <c r="K100" s="571">
        <f>'Food Stock 1-8'!K18+'Food Stock 1-8'!K59</f>
        <v>769.8</v>
      </c>
      <c r="L100" s="572">
        <f>'Food Stock 1-8'!L18+'Food Stock 1-8'!L59</f>
        <v>319.09999999999997</v>
      </c>
      <c r="M100" s="569">
        <f>'Food Stock 1-8'!M18+'Food Stock 1-8'!M59</f>
        <v>0</v>
      </c>
      <c r="N100" s="570">
        <f>'Food Stock 1-8'!N18+'Food Stock 1-8'!N59</f>
        <v>4.3</v>
      </c>
      <c r="O100" s="571">
        <f>'Food Stock 1-8'!O18+'Food Stock 1-8'!O59</f>
        <v>769.8</v>
      </c>
      <c r="P100" s="573">
        <f>'Food Stock 1-8'!P18+'Food Stock 1-8'!P59</f>
        <v>314.79999999999995</v>
      </c>
      <c r="Q100" s="99">
        <f>'Food Stock 1-8'!Q18+'Food Stock 1-8'!Q59</f>
        <v>280</v>
      </c>
      <c r="R100" s="100">
        <f>'Food Stock 1-8'!R18+'Food Stock 1-8'!R59</f>
        <v>368</v>
      </c>
      <c r="S100" s="103">
        <f>'Food Stock 1-8'!S18+'Food Stock 1-8'!S59</f>
        <v>648</v>
      </c>
      <c r="T100" s="99">
        <f>'Food Stock 1-8'!T18+'Food Stock 1-8'!T59</f>
        <v>15</v>
      </c>
      <c r="U100" s="100">
        <f>'Food Stock 1-8'!U18+'Food Stock 1-8'!U59</f>
        <v>22</v>
      </c>
      <c r="V100" s="103">
        <f>'Food Stock 1-8'!V18+'Food Stock 1-8'!V59</f>
        <v>37</v>
      </c>
      <c r="W100" s="99">
        <f>'Food Stock 1-8'!W18+'Food Stock 1-8'!W59</f>
        <v>15</v>
      </c>
      <c r="X100" s="100">
        <f>'Food Stock 1-8'!X18+'Food Stock 1-8'!X59</f>
        <v>22</v>
      </c>
      <c r="Y100" s="103">
        <f>'Food Stock 1-8'!Y18+'Food Stock 1-8'!Y59</f>
        <v>37</v>
      </c>
      <c r="Z100" s="51"/>
      <c r="AA100" s="763"/>
      <c r="AB100" s="36" t="e">
        <f>#REF!+#REF!+#REF!+#REF!</f>
        <v>#REF!</v>
      </c>
    </row>
    <row r="101" spans="1:28" s="37" customFormat="1" ht="17.25" customHeight="1">
      <c r="A101" s="776"/>
      <c r="B101" s="47">
        <f t="shared" si="22"/>
        <v>12</v>
      </c>
      <c r="C101" s="48">
        <f>'Food-Data Entry'!L18</f>
        <v>45973</v>
      </c>
      <c r="D101" s="49" t="str">
        <f>'Food-Data Entry'!O18</f>
        <v>Wednesday</v>
      </c>
      <c r="E101" s="569">
        <f>'Food Stock 1-8'!E19+'Food Stock 1-8'!E60</f>
        <v>769.8</v>
      </c>
      <c r="F101" s="570">
        <f>'Food Stock 1-8'!F19+'Food Stock 1-8'!F60</f>
        <v>314.79999999999995</v>
      </c>
      <c r="G101" s="569">
        <f>'Food Stock 1-8'!G19+'Food Stock 1-8'!G60</f>
        <v>0</v>
      </c>
      <c r="H101" s="570">
        <f>'Food Stock 1-8'!H19+'Food Stock 1-8'!H60</f>
        <v>0</v>
      </c>
      <c r="I101" s="569">
        <f>'Food Stock 1-8'!I19+'Food Stock 1-8'!I60</f>
        <v>0</v>
      </c>
      <c r="J101" s="570">
        <f>'Food Stock 1-8'!J19+'Food Stock 1-8'!J60</f>
        <v>0</v>
      </c>
      <c r="K101" s="571">
        <f>'Food Stock 1-8'!K19+'Food Stock 1-8'!K60</f>
        <v>769.8</v>
      </c>
      <c r="L101" s="572">
        <f>'Food Stock 1-8'!L19+'Food Stock 1-8'!L60</f>
        <v>314.79999999999995</v>
      </c>
      <c r="M101" s="569">
        <f>'Food Stock 1-8'!M19+'Food Stock 1-8'!M60</f>
        <v>4.3</v>
      </c>
      <c r="N101" s="570">
        <f>'Food Stock 1-8'!N19+'Food Stock 1-8'!N60</f>
        <v>0</v>
      </c>
      <c r="O101" s="571">
        <f>'Food Stock 1-8'!O19+'Food Stock 1-8'!O60</f>
        <v>765.49999999999989</v>
      </c>
      <c r="P101" s="573">
        <f>'Food Stock 1-8'!P19+'Food Stock 1-8'!P60</f>
        <v>314.79999999999995</v>
      </c>
      <c r="Q101" s="99">
        <f>'Food Stock 1-8'!Q19+'Food Stock 1-8'!Q60</f>
        <v>280</v>
      </c>
      <c r="R101" s="100">
        <f>'Food Stock 1-8'!R19+'Food Stock 1-8'!R60</f>
        <v>368</v>
      </c>
      <c r="S101" s="103">
        <f>'Food Stock 1-8'!S19+'Food Stock 1-8'!S60</f>
        <v>648</v>
      </c>
      <c r="T101" s="99">
        <f>'Food Stock 1-8'!T19+'Food Stock 1-8'!T60</f>
        <v>15</v>
      </c>
      <c r="U101" s="100">
        <f>'Food Stock 1-8'!U19+'Food Stock 1-8'!U60</f>
        <v>22</v>
      </c>
      <c r="V101" s="103">
        <f>'Food Stock 1-8'!V19+'Food Stock 1-8'!V60</f>
        <v>37</v>
      </c>
      <c r="W101" s="99">
        <f>'Food Stock 1-8'!W19+'Food Stock 1-8'!W60</f>
        <v>15</v>
      </c>
      <c r="X101" s="100">
        <f>'Food Stock 1-8'!X19+'Food Stock 1-8'!X60</f>
        <v>22</v>
      </c>
      <c r="Y101" s="103">
        <f>'Food Stock 1-8'!Y19+'Food Stock 1-8'!Y60</f>
        <v>37</v>
      </c>
      <c r="Z101" s="51"/>
      <c r="AA101" s="763"/>
      <c r="AB101" s="36" t="e">
        <f>#REF!+#REF!+#REF!+#REF!</f>
        <v>#REF!</v>
      </c>
    </row>
    <row r="102" spans="1:28" s="37" customFormat="1" ht="17.25" customHeight="1">
      <c r="A102" s="776"/>
      <c r="B102" s="47">
        <f t="shared" si="22"/>
        <v>13</v>
      </c>
      <c r="C102" s="48">
        <f>'Food-Data Entry'!L19</f>
        <v>45974</v>
      </c>
      <c r="D102" s="49" t="str">
        <f>'Food-Data Entry'!O19</f>
        <v>Thursday</v>
      </c>
      <c r="E102" s="569">
        <f>'Food Stock 1-8'!E20+'Food Stock 1-8'!E61</f>
        <v>765.49999999999989</v>
      </c>
      <c r="F102" s="570">
        <f>'Food Stock 1-8'!F20+'Food Stock 1-8'!F61</f>
        <v>314.79999999999995</v>
      </c>
      <c r="G102" s="569">
        <f>'Food Stock 1-8'!G20+'Food Stock 1-8'!G61</f>
        <v>0</v>
      </c>
      <c r="H102" s="570">
        <f>'Food Stock 1-8'!H20+'Food Stock 1-8'!H61</f>
        <v>0</v>
      </c>
      <c r="I102" s="569">
        <f>'Food Stock 1-8'!I20+'Food Stock 1-8'!I61</f>
        <v>0</v>
      </c>
      <c r="J102" s="570">
        <f>'Food Stock 1-8'!J20+'Food Stock 1-8'!J61</f>
        <v>0</v>
      </c>
      <c r="K102" s="571">
        <f>'Food Stock 1-8'!K20+'Food Stock 1-8'!K61</f>
        <v>765.49999999999989</v>
      </c>
      <c r="L102" s="572">
        <f>'Food Stock 1-8'!L20+'Food Stock 1-8'!L61</f>
        <v>314.79999999999995</v>
      </c>
      <c r="M102" s="569">
        <f>'Food Stock 1-8'!M20+'Food Stock 1-8'!M61</f>
        <v>0</v>
      </c>
      <c r="N102" s="570">
        <f>'Food Stock 1-8'!N20+'Food Stock 1-8'!N61</f>
        <v>4.3</v>
      </c>
      <c r="O102" s="571">
        <f>'Food Stock 1-8'!O20+'Food Stock 1-8'!O61</f>
        <v>765.49999999999989</v>
      </c>
      <c r="P102" s="573">
        <f>'Food Stock 1-8'!P20+'Food Stock 1-8'!P61</f>
        <v>310.49999999999994</v>
      </c>
      <c r="Q102" s="99">
        <f>'Food Stock 1-8'!Q20+'Food Stock 1-8'!Q61</f>
        <v>280</v>
      </c>
      <c r="R102" s="100">
        <f>'Food Stock 1-8'!R20+'Food Stock 1-8'!R61</f>
        <v>368</v>
      </c>
      <c r="S102" s="103">
        <f>'Food Stock 1-8'!S20+'Food Stock 1-8'!S61</f>
        <v>648</v>
      </c>
      <c r="T102" s="99">
        <f>'Food Stock 1-8'!T20+'Food Stock 1-8'!T61</f>
        <v>15</v>
      </c>
      <c r="U102" s="100">
        <f>'Food Stock 1-8'!U20+'Food Stock 1-8'!U61</f>
        <v>22</v>
      </c>
      <c r="V102" s="103">
        <f>'Food Stock 1-8'!V20+'Food Stock 1-8'!V61</f>
        <v>37</v>
      </c>
      <c r="W102" s="99">
        <f>'Food Stock 1-8'!W20+'Food Stock 1-8'!W61</f>
        <v>15</v>
      </c>
      <c r="X102" s="100">
        <f>'Food Stock 1-8'!X20+'Food Stock 1-8'!X61</f>
        <v>22</v>
      </c>
      <c r="Y102" s="103">
        <f>'Food Stock 1-8'!Y20+'Food Stock 1-8'!Y61</f>
        <v>37</v>
      </c>
      <c r="Z102" s="51"/>
      <c r="AA102" s="763"/>
      <c r="AB102" s="36" t="e">
        <f>#REF!+#REF!+#REF!+#REF!</f>
        <v>#REF!</v>
      </c>
    </row>
    <row r="103" spans="1:28" s="37" customFormat="1" ht="17.25" customHeight="1">
      <c r="A103" s="776"/>
      <c r="B103" s="47">
        <f t="shared" si="22"/>
        <v>14</v>
      </c>
      <c r="C103" s="48">
        <f>'Food-Data Entry'!L20</f>
        <v>45975</v>
      </c>
      <c r="D103" s="49" t="str">
        <f>'Food-Data Entry'!O20</f>
        <v>Friday</v>
      </c>
      <c r="E103" s="569">
        <f>'Food Stock 1-8'!E21+'Food Stock 1-8'!E62</f>
        <v>765.49999999999989</v>
      </c>
      <c r="F103" s="570">
        <f>'Food Stock 1-8'!F21+'Food Stock 1-8'!F62</f>
        <v>310.49999999999994</v>
      </c>
      <c r="G103" s="569">
        <f>'Food Stock 1-8'!G21+'Food Stock 1-8'!G62</f>
        <v>0</v>
      </c>
      <c r="H103" s="570">
        <f>'Food Stock 1-8'!H21+'Food Stock 1-8'!H62</f>
        <v>0</v>
      </c>
      <c r="I103" s="569">
        <f>'Food Stock 1-8'!I21+'Food Stock 1-8'!I62</f>
        <v>0</v>
      </c>
      <c r="J103" s="570">
        <f>'Food Stock 1-8'!J21+'Food Stock 1-8'!J62</f>
        <v>0</v>
      </c>
      <c r="K103" s="571">
        <f>'Food Stock 1-8'!K21+'Food Stock 1-8'!K62</f>
        <v>765.49999999999989</v>
      </c>
      <c r="L103" s="572">
        <f>'Food Stock 1-8'!L21+'Food Stock 1-8'!L62</f>
        <v>310.49999999999994</v>
      </c>
      <c r="M103" s="569">
        <f>'Food Stock 1-8'!M21+'Food Stock 1-8'!M62</f>
        <v>4.3</v>
      </c>
      <c r="N103" s="570">
        <f>'Food Stock 1-8'!N21+'Food Stock 1-8'!N62</f>
        <v>0</v>
      </c>
      <c r="O103" s="571">
        <f>'Food Stock 1-8'!O21+'Food Stock 1-8'!O62</f>
        <v>761.19999999999982</v>
      </c>
      <c r="P103" s="573">
        <f>'Food Stock 1-8'!P21+'Food Stock 1-8'!P62</f>
        <v>310.49999999999994</v>
      </c>
      <c r="Q103" s="99">
        <f>'Food Stock 1-8'!Q21+'Food Stock 1-8'!Q62</f>
        <v>280</v>
      </c>
      <c r="R103" s="100">
        <f>'Food Stock 1-8'!R21+'Food Stock 1-8'!R62</f>
        <v>368</v>
      </c>
      <c r="S103" s="103">
        <f>'Food Stock 1-8'!S21+'Food Stock 1-8'!S62</f>
        <v>648</v>
      </c>
      <c r="T103" s="99">
        <f>'Food Stock 1-8'!T21+'Food Stock 1-8'!T62</f>
        <v>15</v>
      </c>
      <c r="U103" s="100">
        <f>'Food Stock 1-8'!U21+'Food Stock 1-8'!U62</f>
        <v>22</v>
      </c>
      <c r="V103" s="103">
        <f>'Food Stock 1-8'!V21+'Food Stock 1-8'!V62</f>
        <v>37</v>
      </c>
      <c r="W103" s="99">
        <f>'Food Stock 1-8'!W21+'Food Stock 1-8'!W62</f>
        <v>15</v>
      </c>
      <c r="X103" s="100">
        <f>'Food Stock 1-8'!X21+'Food Stock 1-8'!X62</f>
        <v>22</v>
      </c>
      <c r="Y103" s="103">
        <f>'Food Stock 1-8'!Y21+'Food Stock 1-8'!Y62</f>
        <v>37</v>
      </c>
      <c r="Z103" s="51"/>
      <c r="AA103" s="763"/>
      <c r="AB103" s="36" t="e">
        <f>#REF!+#REF!+#REF!+#REF!</f>
        <v>#REF!</v>
      </c>
    </row>
    <row r="104" spans="1:28" s="37" customFormat="1" ht="17.25" customHeight="1">
      <c r="A104" s="776"/>
      <c r="B104" s="47">
        <f t="shared" si="22"/>
        <v>15</v>
      </c>
      <c r="C104" s="48">
        <f>'Food-Data Entry'!L21</f>
        <v>45976</v>
      </c>
      <c r="D104" s="49" t="str">
        <f>'Food-Data Entry'!O21</f>
        <v>Saturday</v>
      </c>
      <c r="E104" s="569">
        <f>'Food Stock 1-8'!E22+'Food Stock 1-8'!E63</f>
        <v>761.19999999999982</v>
      </c>
      <c r="F104" s="570">
        <f>'Food Stock 1-8'!F22+'Food Stock 1-8'!F63</f>
        <v>310.49999999999994</v>
      </c>
      <c r="G104" s="569">
        <f>'Food Stock 1-8'!G22+'Food Stock 1-8'!G63</f>
        <v>0</v>
      </c>
      <c r="H104" s="570">
        <f>'Food Stock 1-8'!H22+'Food Stock 1-8'!H63</f>
        <v>0</v>
      </c>
      <c r="I104" s="569">
        <f>'Food Stock 1-8'!I22+'Food Stock 1-8'!I63</f>
        <v>0</v>
      </c>
      <c r="J104" s="570">
        <f>'Food Stock 1-8'!J22+'Food Stock 1-8'!J63</f>
        <v>0</v>
      </c>
      <c r="K104" s="571">
        <f>'Food Stock 1-8'!K22+'Food Stock 1-8'!K63</f>
        <v>761.19999999999982</v>
      </c>
      <c r="L104" s="572">
        <f>'Food Stock 1-8'!L22+'Food Stock 1-8'!L63</f>
        <v>310.49999999999994</v>
      </c>
      <c r="M104" s="569">
        <f>'Food Stock 1-8'!M22+'Food Stock 1-8'!M63</f>
        <v>4.3</v>
      </c>
      <c r="N104" s="570">
        <f>'Food Stock 1-8'!N22+'Food Stock 1-8'!N63</f>
        <v>0</v>
      </c>
      <c r="O104" s="571">
        <f>'Food Stock 1-8'!O22+'Food Stock 1-8'!O63</f>
        <v>756.89999999999986</v>
      </c>
      <c r="P104" s="573">
        <f>'Food Stock 1-8'!P22+'Food Stock 1-8'!P63</f>
        <v>310.49999999999994</v>
      </c>
      <c r="Q104" s="99">
        <f>'Food Stock 1-8'!Q22+'Food Stock 1-8'!Q63</f>
        <v>280</v>
      </c>
      <c r="R104" s="100">
        <f>'Food Stock 1-8'!R22+'Food Stock 1-8'!R63</f>
        <v>368</v>
      </c>
      <c r="S104" s="103">
        <f>'Food Stock 1-8'!S22+'Food Stock 1-8'!S63</f>
        <v>648</v>
      </c>
      <c r="T104" s="99">
        <f>'Food Stock 1-8'!T22+'Food Stock 1-8'!T63</f>
        <v>15</v>
      </c>
      <c r="U104" s="100">
        <f>'Food Stock 1-8'!U22+'Food Stock 1-8'!U63</f>
        <v>22</v>
      </c>
      <c r="V104" s="103">
        <f>'Food Stock 1-8'!V22+'Food Stock 1-8'!V63</f>
        <v>37</v>
      </c>
      <c r="W104" s="99">
        <f>'Food Stock 1-8'!W22+'Food Stock 1-8'!W63</f>
        <v>15</v>
      </c>
      <c r="X104" s="100">
        <f>'Food Stock 1-8'!X22+'Food Stock 1-8'!X63</f>
        <v>22</v>
      </c>
      <c r="Y104" s="103">
        <f>'Food Stock 1-8'!Y22+'Food Stock 1-8'!Y63</f>
        <v>37</v>
      </c>
      <c r="Z104" s="51"/>
      <c r="AA104" s="763"/>
      <c r="AB104" s="36" t="e">
        <f>#REF!+#REF!+#REF!+#REF!</f>
        <v>#REF!</v>
      </c>
    </row>
    <row r="105" spans="1:28" s="37" customFormat="1" ht="17.25" customHeight="1">
      <c r="A105" s="776"/>
      <c r="B105" s="47">
        <f t="shared" si="22"/>
        <v>16</v>
      </c>
      <c r="C105" s="48">
        <f>'Food-Data Entry'!L22</f>
        <v>45977</v>
      </c>
      <c r="D105" s="49" t="str">
        <f>'Food-Data Entry'!O22</f>
        <v>Holiday</v>
      </c>
      <c r="E105" s="569">
        <f>'Food Stock 1-8'!E23+'Food Stock 1-8'!E64</f>
        <v>756.89999999999986</v>
      </c>
      <c r="F105" s="570">
        <f>'Food Stock 1-8'!F23+'Food Stock 1-8'!F64</f>
        <v>310.49999999999994</v>
      </c>
      <c r="G105" s="569">
        <f>'Food Stock 1-8'!G23+'Food Stock 1-8'!G64</f>
        <v>0</v>
      </c>
      <c r="H105" s="570">
        <f>'Food Stock 1-8'!H23+'Food Stock 1-8'!H64</f>
        <v>0</v>
      </c>
      <c r="I105" s="569">
        <f>'Food Stock 1-8'!I23+'Food Stock 1-8'!I64</f>
        <v>0</v>
      </c>
      <c r="J105" s="570">
        <f>'Food Stock 1-8'!J23+'Food Stock 1-8'!J64</f>
        <v>0</v>
      </c>
      <c r="K105" s="571">
        <f>'Food Stock 1-8'!K23+'Food Stock 1-8'!K64</f>
        <v>756.89999999999986</v>
      </c>
      <c r="L105" s="572">
        <f>'Food Stock 1-8'!L23+'Food Stock 1-8'!L64</f>
        <v>310.49999999999994</v>
      </c>
      <c r="M105" s="569">
        <f>'Food Stock 1-8'!M23+'Food Stock 1-8'!M64</f>
        <v>0</v>
      </c>
      <c r="N105" s="570">
        <f>'Food Stock 1-8'!N23+'Food Stock 1-8'!N64</f>
        <v>0</v>
      </c>
      <c r="O105" s="571">
        <f>'Food Stock 1-8'!O23+'Food Stock 1-8'!O64</f>
        <v>756.89999999999986</v>
      </c>
      <c r="P105" s="573">
        <f>'Food Stock 1-8'!P23+'Food Stock 1-8'!P64</f>
        <v>310.49999999999994</v>
      </c>
      <c r="Q105" s="99">
        <f>'Food Stock 1-8'!Q23+'Food Stock 1-8'!Q64</f>
        <v>280</v>
      </c>
      <c r="R105" s="100">
        <f>'Food Stock 1-8'!R23+'Food Stock 1-8'!R64</f>
        <v>368</v>
      </c>
      <c r="S105" s="103">
        <f>'Food Stock 1-8'!S23+'Food Stock 1-8'!S64</f>
        <v>648</v>
      </c>
      <c r="T105" s="99">
        <f>'Food Stock 1-8'!T23+'Food Stock 1-8'!T64</f>
        <v>0</v>
      </c>
      <c r="U105" s="100">
        <f>'Food Stock 1-8'!U23+'Food Stock 1-8'!U64</f>
        <v>0</v>
      </c>
      <c r="V105" s="103">
        <f>'Food Stock 1-8'!V23+'Food Stock 1-8'!V64</f>
        <v>0</v>
      </c>
      <c r="W105" s="99">
        <f>'Food Stock 1-8'!W23+'Food Stock 1-8'!W64</f>
        <v>0</v>
      </c>
      <c r="X105" s="100">
        <f>'Food Stock 1-8'!X23+'Food Stock 1-8'!X64</f>
        <v>0</v>
      </c>
      <c r="Y105" s="103">
        <f>'Food Stock 1-8'!Y23+'Food Stock 1-8'!Y64</f>
        <v>0</v>
      </c>
      <c r="Z105" s="51"/>
      <c r="AA105" s="763"/>
      <c r="AB105" s="36" t="e">
        <f>#REF!+#REF!+#REF!+#REF!</f>
        <v>#REF!</v>
      </c>
    </row>
    <row r="106" spans="1:28" s="37" customFormat="1" ht="17.25" customHeight="1">
      <c r="A106" s="776"/>
      <c r="B106" s="47">
        <f t="shared" si="22"/>
        <v>17</v>
      </c>
      <c r="C106" s="48">
        <f>'Food-Data Entry'!L23</f>
        <v>45978</v>
      </c>
      <c r="D106" s="49" t="str">
        <f>'Food-Data Entry'!O23</f>
        <v>Monday</v>
      </c>
      <c r="E106" s="569">
        <f>'Food Stock 1-8'!E24+'Food Stock 1-8'!E65</f>
        <v>756.89999999999986</v>
      </c>
      <c r="F106" s="570">
        <f>'Food Stock 1-8'!F24+'Food Stock 1-8'!F65</f>
        <v>310.49999999999994</v>
      </c>
      <c r="G106" s="569">
        <f>'Food Stock 1-8'!G24+'Food Stock 1-8'!G65</f>
        <v>0</v>
      </c>
      <c r="H106" s="570">
        <f>'Food Stock 1-8'!H24+'Food Stock 1-8'!H65</f>
        <v>0</v>
      </c>
      <c r="I106" s="569">
        <f>'Food Stock 1-8'!I24+'Food Stock 1-8'!I65</f>
        <v>0</v>
      </c>
      <c r="J106" s="570">
        <f>'Food Stock 1-8'!J24+'Food Stock 1-8'!J65</f>
        <v>0</v>
      </c>
      <c r="K106" s="571">
        <f>'Food Stock 1-8'!K24+'Food Stock 1-8'!K65</f>
        <v>756.89999999999986</v>
      </c>
      <c r="L106" s="572">
        <f>'Food Stock 1-8'!L24+'Food Stock 1-8'!L65</f>
        <v>310.49999999999994</v>
      </c>
      <c r="M106" s="569">
        <f>'Food Stock 1-8'!M24+'Food Stock 1-8'!M65</f>
        <v>4.3</v>
      </c>
      <c r="N106" s="570">
        <f>'Food Stock 1-8'!N24+'Food Stock 1-8'!N65</f>
        <v>0</v>
      </c>
      <c r="O106" s="571">
        <f>'Food Stock 1-8'!O24+'Food Stock 1-8'!O65</f>
        <v>752.59999999999991</v>
      </c>
      <c r="P106" s="573">
        <f>'Food Stock 1-8'!P24+'Food Stock 1-8'!P65</f>
        <v>310.49999999999994</v>
      </c>
      <c r="Q106" s="99">
        <f>'Food Stock 1-8'!Q24+'Food Stock 1-8'!Q65</f>
        <v>280</v>
      </c>
      <c r="R106" s="100">
        <f>'Food Stock 1-8'!R24+'Food Stock 1-8'!R65</f>
        <v>368</v>
      </c>
      <c r="S106" s="103">
        <f>'Food Stock 1-8'!S24+'Food Stock 1-8'!S65</f>
        <v>648</v>
      </c>
      <c r="T106" s="99">
        <f>'Food Stock 1-8'!T24+'Food Stock 1-8'!T65</f>
        <v>15</v>
      </c>
      <c r="U106" s="100">
        <f>'Food Stock 1-8'!U24+'Food Stock 1-8'!U65</f>
        <v>22</v>
      </c>
      <c r="V106" s="103">
        <f>'Food Stock 1-8'!V24+'Food Stock 1-8'!V65</f>
        <v>37</v>
      </c>
      <c r="W106" s="99">
        <f>'Food Stock 1-8'!W24+'Food Stock 1-8'!W65</f>
        <v>15</v>
      </c>
      <c r="X106" s="100">
        <f>'Food Stock 1-8'!X24+'Food Stock 1-8'!X65</f>
        <v>22</v>
      </c>
      <c r="Y106" s="103">
        <f>'Food Stock 1-8'!Y24+'Food Stock 1-8'!Y65</f>
        <v>37</v>
      </c>
      <c r="Z106" s="51"/>
      <c r="AA106" s="763"/>
      <c r="AB106" s="36" t="e">
        <f>#REF!+#REF!+#REF!+#REF!</f>
        <v>#REF!</v>
      </c>
    </row>
    <row r="107" spans="1:28" s="37" customFormat="1" ht="17.25" customHeight="1">
      <c r="A107" s="776"/>
      <c r="B107" s="47">
        <f t="shared" si="22"/>
        <v>18</v>
      </c>
      <c r="C107" s="48">
        <f>'Food-Data Entry'!L24</f>
        <v>45979</v>
      </c>
      <c r="D107" s="49" t="str">
        <f>'Food-Data Entry'!O24</f>
        <v>Tuesday</v>
      </c>
      <c r="E107" s="569">
        <f>'Food Stock 1-8'!E25+'Food Stock 1-8'!E66</f>
        <v>752.59999999999991</v>
      </c>
      <c r="F107" s="570">
        <f>'Food Stock 1-8'!F25+'Food Stock 1-8'!F66</f>
        <v>310.49999999999994</v>
      </c>
      <c r="G107" s="569">
        <f>'Food Stock 1-8'!G25+'Food Stock 1-8'!G66</f>
        <v>0</v>
      </c>
      <c r="H107" s="570">
        <f>'Food Stock 1-8'!H25+'Food Stock 1-8'!H66</f>
        <v>0</v>
      </c>
      <c r="I107" s="569">
        <f>'Food Stock 1-8'!I25+'Food Stock 1-8'!I66</f>
        <v>0</v>
      </c>
      <c r="J107" s="570">
        <f>'Food Stock 1-8'!J25+'Food Stock 1-8'!J66</f>
        <v>0</v>
      </c>
      <c r="K107" s="571">
        <f>'Food Stock 1-8'!K25+'Food Stock 1-8'!K66</f>
        <v>752.59999999999991</v>
      </c>
      <c r="L107" s="572">
        <f>'Food Stock 1-8'!L25+'Food Stock 1-8'!L66</f>
        <v>310.49999999999994</v>
      </c>
      <c r="M107" s="569">
        <f>'Food Stock 1-8'!M25+'Food Stock 1-8'!M66</f>
        <v>0</v>
      </c>
      <c r="N107" s="570">
        <f>'Food Stock 1-8'!N25+'Food Stock 1-8'!N66</f>
        <v>4.3</v>
      </c>
      <c r="O107" s="571">
        <f>'Food Stock 1-8'!O25+'Food Stock 1-8'!O66</f>
        <v>752.59999999999991</v>
      </c>
      <c r="P107" s="573">
        <f>'Food Stock 1-8'!P25+'Food Stock 1-8'!P66</f>
        <v>306.19999999999993</v>
      </c>
      <c r="Q107" s="99">
        <f>'Food Stock 1-8'!Q25+'Food Stock 1-8'!Q66</f>
        <v>280</v>
      </c>
      <c r="R107" s="100">
        <f>'Food Stock 1-8'!R25+'Food Stock 1-8'!R66</f>
        <v>368</v>
      </c>
      <c r="S107" s="103">
        <f>'Food Stock 1-8'!S25+'Food Stock 1-8'!S66</f>
        <v>648</v>
      </c>
      <c r="T107" s="99">
        <f>'Food Stock 1-8'!T25+'Food Stock 1-8'!T66</f>
        <v>15</v>
      </c>
      <c r="U107" s="100">
        <f>'Food Stock 1-8'!U25+'Food Stock 1-8'!U66</f>
        <v>22</v>
      </c>
      <c r="V107" s="103">
        <f>'Food Stock 1-8'!V25+'Food Stock 1-8'!V66</f>
        <v>37</v>
      </c>
      <c r="W107" s="99">
        <f>'Food Stock 1-8'!W25+'Food Stock 1-8'!W66</f>
        <v>15</v>
      </c>
      <c r="X107" s="100">
        <f>'Food Stock 1-8'!X25+'Food Stock 1-8'!X66</f>
        <v>22</v>
      </c>
      <c r="Y107" s="103">
        <f>'Food Stock 1-8'!Y25+'Food Stock 1-8'!Y66</f>
        <v>37</v>
      </c>
      <c r="Z107" s="51"/>
      <c r="AA107" s="763"/>
      <c r="AB107" s="36" t="e">
        <f>#REF!+#REF!+#REF!+#REF!</f>
        <v>#REF!</v>
      </c>
    </row>
    <row r="108" spans="1:28" s="37" customFormat="1" ht="17.25" customHeight="1">
      <c r="A108" s="776"/>
      <c r="B108" s="47">
        <f t="shared" si="22"/>
        <v>19</v>
      </c>
      <c r="C108" s="48">
        <f>'Food-Data Entry'!L25</f>
        <v>45980</v>
      </c>
      <c r="D108" s="49" t="str">
        <f>'Food-Data Entry'!O25</f>
        <v>Wednesday</v>
      </c>
      <c r="E108" s="569">
        <f>'Food Stock 1-8'!E26+'Food Stock 1-8'!E67</f>
        <v>752.59999999999991</v>
      </c>
      <c r="F108" s="570">
        <f>'Food Stock 1-8'!F26+'Food Stock 1-8'!F67</f>
        <v>306.19999999999993</v>
      </c>
      <c r="G108" s="569">
        <f>'Food Stock 1-8'!G26+'Food Stock 1-8'!G67</f>
        <v>0</v>
      </c>
      <c r="H108" s="570">
        <f>'Food Stock 1-8'!H26+'Food Stock 1-8'!H67</f>
        <v>0</v>
      </c>
      <c r="I108" s="569">
        <f>'Food Stock 1-8'!I26+'Food Stock 1-8'!I67</f>
        <v>0</v>
      </c>
      <c r="J108" s="570">
        <f>'Food Stock 1-8'!J26+'Food Stock 1-8'!J67</f>
        <v>0</v>
      </c>
      <c r="K108" s="571">
        <f>'Food Stock 1-8'!K26+'Food Stock 1-8'!K67</f>
        <v>752.59999999999991</v>
      </c>
      <c r="L108" s="572">
        <f>'Food Stock 1-8'!L26+'Food Stock 1-8'!L67</f>
        <v>306.19999999999993</v>
      </c>
      <c r="M108" s="569">
        <f>'Food Stock 1-8'!M26+'Food Stock 1-8'!M67</f>
        <v>4.3</v>
      </c>
      <c r="N108" s="570">
        <f>'Food Stock 1-8'!N26+'Food Stock 1-8'!N67</f>
        <v>0</v>
      </c>
      <c r="O108" s="571">
        <f>'Food Stock 1-8'!O26+'Food Stock 1-8'!O67</f>
        <v>748.29999999999984</v>
      </c>
      <c r="P108" s="573">
        <f>'Food Stock 1-8'!P26+'Food Stock 1-8'!P67</f>
        <v>306.19999999999993</v>
      </c>
      <c r="Q108" s="99">
        <f>'Food Stock 1-8'!Q26+'Food Stock 1-8'!Q67</f>
        <v>280</v>
      </c>
      <c r="R108" s="100">
        <f>'Food Stock 1-8'!R26+'Food Stock 1-8'!R67</f>
        <v>368</v>
      </c>
      <c r="S108" s="103">
        <f>'Food Stock 1-8'!S26+'Food Stock 1-8'!S67</f>
        <v>648</v>
      </c>
      <c r="T108" s="99">
        <f>'Food Stock 1-8'!T26+'Food Stock 1-8'!T67</f>
        <v>15</v>
      </c>
      <c r="U108" s="100">
        <f>'Food Stock 1-8'!U26+'Food Stock 1-8'!U67</f>
        <v>22</v>
      </c>
      <c r="V108" s="103">
        <f>'Food Stock 1-8'!V26+'Food Stock 1-8'!V67</f>
        <v>37</v>
      </c>
      <c r="W108" s="99">
        <f>'Food Stock 1-8'!W26+'Food Stock 1-8'!W67</f>
        <v>15</v>
      </c>
      <c r="X108" s="100">
        <f>'Food Stock 1-8'!X26+'Food Stock 1-8'!X67</f>
        <v>22</v>
      </c>
      <c r="Y108" s="103">
        <f>'Food Stock 1-8'!Y26+'Food Stock 1-8'!Y67</f>
        <v>37</v>
      </c>
      <c r="Z108" s="51"/>
      <c r="AA108" s="763"/>
      <c r="AB108" s="36" t="e">
        <f>#REF!+#REF!+#REF!+#REF!</f>
        <v>#REF!</v>
      </c>
    </row>
    <row r="109" spans="1:28" s="37" customFormat="1" ht="17.25" customHeight="1">
      <c r="A109" s="776"/>
      <c r="B109" s="47">
        <f t="shared" si="22"/>
        <v>20</v>
      </c>
      <c r="C109" s="48">
        <f>'Food-Data Entry'!L26</f>
        <v>45981</v>
      </c>
      <c r="D109" s="49" t="str">
        <f>'Food-Data Entry'!O26</f>
        <v>Thursday</v>
      </c>
      <c r="E109" s="569">
        <f>'Food Stock 1-8'!E27+'Food Stock 1-8'!E68</f>
        <v>748.29999999999984</v>
      </c>
      <c r="F109" s="570">
        <f>'Food Stock 1-8'!F27+'Food Stock 1-8'!F68</f>
        <v>306.19999999999993</v>
      </c>
      <c r="G109" s="569">
        <f>'Food Stock 1-8'!G27+'Food Stock 1-8'!G68</f>
        <v>0</v>
      </c>
      <c r="H109" s="570">
        <f>'Food Stock 1-8'!H27+'Food Stock 1-8'!H68</f>
        <v>0</v>
      </c>
      <c r="I109" s="569">
        <f>'Food Stock 1-8'!I27+'Food Stock 1-8'!I68</f>
        <v>0</v>
      </c>
      <c r="J109" s="570">
        <f>'Food Stock 1-8'!J27+'Food Stock 1-8'!J68</f>
        <v>0</v>
      </c>
      <c r="K109" s="571">
        <f>'Food Stock 1-8'!K27+'Food Stock 1-8'!K68</f>
        <v>748.29999999999984</v>
      </c>
      <c r="L109" s="572">
        <f>'Food Stock 1-8'!L27+'Food Stock 1-8'!L68</f>
        <v>306.19999999999993</v>
      </c>
      <c r="M109" s="569">
        <f>'Food Stock 1-8'!M27+'Food Stock 1-8'!M68</f>
        <v>0</v>
      </c>
      <c r="N109" s="570">
        <f>'Food Stock 1-8'!N27+'Food Stock 1-8'!N68</f>
        <v>4.3</v>
      </c>
      <c r="O109" s="571">
        <f>'Food Stock 1-8'!O27+'Food Stock 1-8'!O68</f>
        <v>748.29999999999984</v>
      </c>
      <c r="P109" s="573">
        <f>'Food Stock 1-8'!P27+'Food Stock 1-8'!P68</f>
        <v>301.89999999999992</v>
      </c>
      <c r="Q109" s="99">
        <f>'Food Stock 1-8'!Q27+'Food Stock 1-8'!Q68</f>
        <v>280</v>
      </c>
      <c r="R109" s="100">
        <f>'Food Stock 1-8'!R27+'Food Stock 1-8'!R68</f>
        <v>368</v>
      </c>
      <c r="S109" s="103">
        <f>'Food Stock 1-8'!S27+'Food Stock 1-8'!S68</f>
        <v>648</v>
      </c>
      <c r="T109" s="99">
        <f>'Food Stock 1-8'!T27+'Food Stock 1-8'!T68</f>
        <v>15</v>
      </c>
      <c r="U109" s="100">
        <f>'Food Stock 1-8'!U27+'Food Stock 1-8'!U68</f>
        <v>22</v>
      </c>
      <c r="V109" s="103">
        <f>'Food Stock 1-8'!V27+'Food Stock 1-8'!V68</f>
        <v>37</v>
      </c>
      <c r="W109" s="99">
        <f>'Food Stock 1-8'!W27+'Food Stock 1-8'!W68</f>
        <v>15</v>
      </c>
      <c r="X109" s="100">
        <f>'Food Stock 1-8'!X27+'Food Stock 1-8'!X68</f>
        <v>22</v>
      </c>
      <c r="Y109" s="103">
        <f>'Food Stock 1-8'!Y27+'Food Stock 1-8'!Y68</f>
        <v>37</v>
      </c>
      <c r="Z109" s="51"/>
      <c r="AA109" s="763"/>
      <c r="AB109" s="36" t="e">
        <f>#REF!+#REF!+#REF!+#REF!</f>
        <v>#REF!</v>
      </c>
    </row>
    <row r="110" spans="1:28" s="37" customFormat="1" ht="17.25" customHeight="1">
      <c r="A110" s="776"/>
      <c r="B110" s="47">
        <f t="shared" si="22"/>
        <v>21</v>
      </c>
      <c r="C110" s="52">
        <f>'Food-Data Entry'!L27</f>
        <v>45982</v>
      </c>
      <c r="D110" s="53" t="str">
        <f>'Food-Data Entry'!O27</f>
        <v>Friday</v>
      </c>
      <c r="E110" s="569">
        <f>'Food Stock 1-8'!E28+'Food Stock 1-8'!E69</f>
        <v>748.29999999999984</v>
      </c>
      <c r="F110" s="570">
        <f>'Food Stock 1-8'!F28+'Food Stock 1-8'!F69</f>
        <v>301.89999999999992</v>
      </c>
      <c r="G110" s="569">
        <f>'Food Stock 1-8'!G28+'Food Stock 1-8'!G69</f>
        <v>0</v>
      </c>
      <c r="H110" s="570">
        <f>'Food Stock 1-8'!H28+'Food Stock 1-8'!H69</f>
        <v>0</v>
      </c>
      <c r="I110" s="569">
        <f>'Food Stock 1-8'!I28+'Food Stock 1-8'!I69</f>
        <v>0</v>
      </c>
      <c r="J110" s="570">
        <f>'Food Stock 1-8'!J28+'Food Stock 1-8'!J69</f>
        <v>0</v>
      </c>
      <c r="K110" s="571">
        <f>'Food Stock 1-8'!K28+'Food Stock 1-8'!K69</f>
        <v>748.29999999999984</v>
      </c>
      <c r="L110" s="572">
        <f>'Food Stock 1-8'!L28+'Food Stock 1-8'!L69</f>
        <v>301.89999999999992</v>
      </c>
      <c r="M110" s="569">
        <f>'Food Stock 1-8'!M28+'Food Stock 1-8'!M69</f>
        <v>4.3</v>
      </c>
      <c r="N110" s="570">
        <f>'Food Stock 1-8'!N28+'Food Stock 1-8'!N69</f>
        <v>0</v>
      </c>
      <c r="O110" s="571">
        <f>'Food Stock 1-8'!O28+'Food Stock 1-8'!O69</f>
        <v>743.99999999999977</v>
      </c>
      <c r="P110" s="573">
        <f>'Food Stock 1-8'!P28+'Food Stock 1-8'!P69</f>
        <v>301.89999999999992</v>
      </c>
      <c r="Q110" s="99">
        <f>'Food Stock 1-8'!Q28+'Food Stock 1-8'!Q69</f>
        <v>280</v>
      </c>
      <c r="R110" s="100">
        <f>'Food Stock 1-8'!R28+'Food Stock 1-8'!R69</f>
        <v>368</v>
      </c>
      <c r="S110" s="103">
        <f>'Food Stock 1-8'!S28+'Food Stock 1-8'!S69</f>
        <v>648</v>
      </c>
      <c r="T110" s="99">
        <f>'Food Stock 1-8'!T28+'Food Stock 1-8'!T69</f>
        <v>15</v>
      </c>
      <c r="U110" s="100">
        <f>'Food Stock 1-8'!U28+'Food Stock 1-8'!U69</f>
        <v>22</v>
      </c>
      <c r="V110" s="103">
        <f>'Food Stock 1-8'!V28+'Food Stock 1-8'!V69</f>
        <v>37</v>
      </c>
      <c r="W110" s="99">
        <f>'Food Stock 1-8'!W28+'Food Stock 1-8'!W69</f>
        <v>15</v>
      </c>
      <c r="X110" s="100">
        <f>'Food Stock 1-8'!X28+'Food Stock 1-8'!X69</f>
        <v>22</v>
      </c>
      <c r="Y110" s="103">
        <f>'Food Stock 1-8'!Y28+'Food Stock 1-8'!Y69</f>
        <v>37</v>
      </c>
      <c r="Z110" s="54"/>
      <c r="AA110" s="763"/>
      <c r="AB110" s="36" t="e">
        <f>#REF!+#REF!+#REF!+#REF!</f>
        <v>#REF!</v>
      </c>
    </row>
    <row r="111" spans="1:28" s="37" customFormat="1" ht="17.25" customHeight="1">
      <c r="A111" s="776"/>
      <c r="B111" s="47">
        <f t="shared" si="22"/>
        <v>22</v>
      </c>
      <c r="C111" s="52">
        <f>'Food-Data Entry'!L28</f>
        <v>45983</v>
      </c>
      <c r="D111" s="53" t="str">
        <f>'Food-Data Entry'!O28</f>
        <v>Saturday</v>
      </c>
      <c r="E111" s="569">
        <f>'Food Stock 1-8'!E29+'Food Stock 1-8'!E70</f>
        <v>743.99999999999977</v>
      </c>
      <c r="F111" s="570">
        <f>'Food Stock 1-8'!F29+'Food Stock 1-8'!F70</f>
        <v>301.89999999999992</v>
      </c>
      <c r="G111" s="569">
        <f>'Food Stock 1-8'!G29+'Food Stock 1-8'!G70</f>
        <v>0</v>
      </c>
      <c r="H111" s="570">
        <f>'Food Stock 1-8'!H29+'Food Stock 1-8'!H70</f>
        <v>0</v>
      </c>
      <c r="I111" s="569">
        <f>'Food Stock 1-8'!I29+'Food Stock 1-8'!I70</f>
        <v>0</v>
      </c>
      <c r="J111" s="570">
        <f>'Food Stock 1-8'!J29+'Food Stock 1-8'!J70</f>
        <v>0</v>
      </c>
      <c r="K111" s="571">
        <f>'Food Stock 1-8'!K29+'Food Stock 1-8'!K70</f>
        <v>743.99999999999977</v>
      </c>
      <c r="L111" s="572">
        <f>'Food Stock 1-8'!L29+'Food Stock 1-8'!L70</f>
        <v>301.89999999999992</v>
      </c>
      <c r="M111" s="569">
        <f>'Food Stock 1-8'!M29+'Food Stock 1-8'!M70</f>
        <v>4.3</v>
      </c>
      <c r="N111" s="570">
        <f>'Food Stock 1-8'!N29+'Food Stock 1-8'!N70</f>
        <v>0</v>
      </c>
      <c r="O111" s="571">
        <f>'Food Stock 1-8'!O29+'Food Stock 1-8'!O70</f>
        <v>739.69999999999982</v>
      </c>
      <c r="P111" s="573">
        <f>'Food Stock 1-8'!P29+'Food Stock 1-8'!P70</f>
        <v>301.89999999999992</v>
      </c>
      <c r="Q111" s="99">
        <f>'Food Stock 1-8'!Q29+'Food Stock 1-8'!Q70</f>
        <v>280</v>
      </c>
      <c r="R111" s="100">
        <f>'Food Stock 1-8'!R29+'Food Stock 1-8'!R70</f>
        <v>368</v>
      </c>
      <c r="S111" s="103">
        <f>'Food Stock 1-8'!S29+'Food Stock 1-8'!S70</f>
        <v>648</v>
      </c>
      <c r="T111" s="99">
        <f>'Food Stock 1-8'!T29+'Food Stock 1-8'!T70</f>
        <v>15</v>
      </c>
      <c r="U111" s="100">
        <f>'Food Stock 1-8'!U29+'Food Stock 1-8'!U70</f>
        <v>22</v>
      </c>
      <c r="V111" s="103">
        <f>'Food Stock 1-8'!V29+'Food Stock 1-8'!V70</f>
        <v>37</v>
      </c>
      <c r="W111" s="99">
        <f>'Food Stock 1-8'!W29+'Food Stock 1-8'!W70</f>
        <v>15</v>
      </c>
      <c r="X111" s="100">
        <f>'Food Stock 1-8'!X29+'Food Stock 1-8'!X70</f>
        <v>22</v>
      </c>
      <c r="Y111" s="103">
        <f>'Food Stock 1-8'!Y29+'Food Stock 1-8'!Y70</f>
        <v>37</v>
      </c>
      <c r="Z111" s="54"/>
      <c r="AA111" s="763"/>
      <c r="AB111" s="36" t="e">
        <f>#REF!+#REF!+#REF!+#REF!</f>
        <v>#REF!</v>
      </c>
    </row>
    <row r="112" spans="1:28" s="37" customFormat="1" ht="17.25" customHeight="1">
      <c r="A112" s="776"/>
      <c r="B112" s="47">
        <f t="shared" si="22"/>
        <v>23</v>
      </c>
      <c r="C112" s="52">
        <f>'Food-Data Entry'!L29</f>
        <v>45984</v>
      </c>
      <c r="D112" s="53" t="str">
        <f>'Food-Data Entry'!O29</f>
        <v>Holiday</v>
      </c>
      <c r="E112" s="569">
        <f>'Food Stock 1-8'!E30+'Food Stock 1-8'!E71</f>
        <v>739.69999999999982</v>
      </c>
      <c r="F112" s="570">
        <f>'Food Stock 1-8'!F30+'Food Stock 1-8'!F71</f>
        <v>301.89999999999992</v>
      </c>
      <c r="G112" s="569">
        <f>'Food Stock 1-8'!G30+'Food Stock 1-8'!G71</f>
        <v>0</v>
      </c>
      <c r="H112" s="570">
        <f>'Food Stock 1-8'!H30+'Food Stock 1-8'!H71</f>
        <v>0</v>
      </c>
      <c r="I112" s="569">
        <f>'Food Stock 1-8'!I30+'Food Stock 1-8'!I71</f>
        <v>0</v>
      </c>
      <c r="J112" s="570">
        <f>'Food Stock 1-8'!J30+'Food Stock 1-8'!J71</f>
        <v>0</v>
      </c>
      <c r="K112" s="571">
        <f>'Food Stock 1-8'!K30+'Food Stock 1-8'!K71</f>
        <v>739.69999999999982</v>
      </c>
      <c r="L112" s="572">
        <f>'Food Stock 1-8'!L30+'Food Stock 1-8'!L71</f>
        <v>301.89999999999992</v>
      </c>
      <c r="M112" s="569">
        <f>'Food Stock 1-8'!M30+'Food Stock 1-8'!M71</f>
        <v>0</v>
      </c>
      <c r="N112" s="570">
        <f>'Food Stock 1-8'!N30+'Food Stock 1-8'!N71</f>
        <v>0</v>
      </c>
      <c r="O112" s="571">
        <f>'Food Stock 1-8'!O30+'Food Stock 1-8'!O71</f>
        <v>739.69999999999982</v>
      </c>
      <c r="P112" s="573">
        <f>'Food Stock 1-8'!P30+'Food Stock 1-8'!P71</f>
        <v>301.89999999999992</v>
      </c>
      <c r="Q112" s="99">
        <f>'Food Stock 1-8'!Q30+'Food Stock 1-8'!Q71</f>
        <v>280</v>
      </c>
      <c r="R112" s="100">
        <f>'Food Stock 1-8'!R30+'Food Stock 1-8'!R71</f>
        <v>368</v>
      </c>
      <c r="S112" s="103">
        <f>'Food Stock 1-8'!S30+'Food Stock 1-8'!S71</f>
        <v>648</v>
      </c>
      <c r="T112" s="99">
        <f>'Food Stock 1-8'!T30+'Food Stock 1-8'!T71</f>
        <v>0</v>
      </c>
      <c r="U112" s="100">
        <f>'Food Stock 1-8'!U30+'Food Stock 1-8'!U71</f>
        <v>0</v>
      </c>
      <c r="V112" s="103">
        <f>'Food Stock 1-8'!V30+'Food Stock 1-8'!V71</f>
        <v>0</v>
      </c>
      <c r="W112" s="99">
        <f>'Food Stock 1-8'!W30+'Food Stock 1-8'!W71</f>
        <v>0</v>
      </c>
      <c r="X112" s="100">
        <f>'Food Stock 1-8'!X30+'Food Stock 1-8'!X71</f>
        <v>0</v>
      </c>
      <c r="Y112" s="103">
        <f>'Food Stock 1-8'!Y30+'Food Stock 1-8'!Y71</f>
        <v>0</v>
      </c>
      <c r="Z112" s="54"/>
      <c r="AA112" s="763"/>
      <c r="AB112" s="36" t="e">
        <f>#REF!+#REF!+#REF!+#REF!</f>
        <v>#REF!</v>
      </c>
    </row>
    <row r="113" spans="1:28" s="37" customFormat="1" ht="17.25" customHeight="1">
      <c r="A113" s="776"/>
      <c r="B113" s="47">
        <f t="shared" si="22"/>
        <v>24</v>
      </c>
      <c r="C113" s="52">
        <f>'Food-Data Entry'!L30</f>
        <v>45985</v>
      </c>
      <c r="D113" s="53" t="str">
        <f>'Food-Data Entry'!O30</f>
        <v>Monday</v>
      </c>
      <c r="E113" s="569">
        <f>'Food Stock 1-8'!E31+'Food Stock 1-8'!E72</f>
        <v>739.69999999999982</v>
      </c>
      <c r="F113" s="570">
        <f>'Food Stock 1-8'!F31+'Food Stock 1-8'!F72</f>
        <v>301.89999999999992</v>
      </c>
      <c r="G113" s="569">
        <f>'Food Stock 1-8'!G31+'Food Stock 1-8'!G72</f>
        <v>0</v>
      </c>
      <c r="H113" s="570">
        <f>'Food Stock 1-8'!H31+'Food Stock 1-8'!H72</f>
        <v>0</v>
      </c>
      <c r="I113" s="569">
        <f>'Food Stock 1-8'!I31+'Food Stock 1-8'!I72</f>
        <v>0</v>
      </c>
      <c r="J113" s="570">
        <f>'Food Stock 1-8'!J31+'Food Stock 1-8'!J72</f>
        <v>0</v>
      </c>
      <c r="K113" s="571">
        <f>'Food Stock 1-8'!K31+'Food Stock 1-8'!K72</f>
        <v>739.69999999999982</v>
      </c>
      <c r="L113" s="572">
        <f>'Food Stock 1-8'!L31+'Food Stock 1-8'!L72</f>
        <v>301.89999999999992</v>
      </c>
      <c r="M113" s="569">
        <f>'Food Stock 1-8'!M31+'Food Stock 1-8'!M72</f>
        <v>4.3</v>
      </c>
      <c r="N113" s="570">
        <f>'Food Stock 1-8'!N31+'Food Stock 1-8'!N72</f>
        <v>0</v>
      </c>
      <c r="O113" s="571">
        <f>'Food Stock 1-8'!O31+'Food Stock 1-8'!O72</f>
        <v>735.39999999999986</v>
      </c>
      <c r="P113" s="573">
        <f>'Food Stock 1-8'!P31+'Food Stock 1-8'!P72</f>
        <v>301.89999999999992</v>
      </c>
      <c r="Q113" s="99">
        <f>'Food Stock 1-8'!Q31+'Food Stock 1-8'!Q72</f>
        <v>280</v>
      </c>
      <c r="R113" s="100">
        <f>'Food Stock 1-8'!R31+'Food Stock 1-8'!R72</f>
        <v>368</v>
      </c>
      <c r="S113" s="103">
        <f>'Food Stock 1-8'!S31+'Food Stock 1-8'!S72</f>
        <v>648</v>
      </c>
      <c r="T113" s="99">
        <f>'Food Stock 1-8'!T31+'Food Stock 1-8'!T72</f>
        <v>15</v>
      </c>
      <c r="U113" s="100">
        <f>'Food Stock 1-8'!U31+'Food Stock 1-8'!U72</f>
        <v>22</v>
      </c>
      <c r="V113" s="103">
        <f>'Food Stock 1-8'!V31+'Food Stock 1-8'!V72</f>
        <v>37</v>
      </c>
      <c r="W113" s="99">
        <f>'Food Stock 1-8'!W31+'Food Stock 1-8'!W72</f>
        <v>15</v>
      </c>
      <c r="X113" s="100">
        <f>'Food Stock 1-8'!X31+'Food Stock 1-8'!X72</f>
        <v>22</v>
      </c>
      <c r="Y113" s="103">
        <f>'Food Stock 1-8'!Y31+'Food Stock 1-8'!Y72</f>
        <v>37</v>
      </c>
      <c r="Z113" s="54"/>
      <c r="AA113" s="763"/>
      <c r="AB113" s="36" t="e">
        <f>#REF!+#REF!+#REF!+#REF!</f>
        <v>#REF!</v>
      </c>
    </row>
    <row r="114" spans="1:28" s="37" customFormat="1" ht="17.25" customHeight="1">
      <c r="A114" s="776"/>
      <c r="B114" s="47">
        <f t="shared" si="22"/>
        <v>25</v>
      </c>
      <c r="C114" s="52">
        <f>'Food-Data Entry'!L31</f>
        <v>45986</v>
      </c>
      <c r="D114" s="53" t="str">
        <f>'Food-Data Entry'!O31</f>
        <v>Tuesday</v>
      </c>
      <c r="E114" s="569">
        <f>'Food Stock 1-8'!E32+'Food Stock 1-8'!E73</f>
        <v>735.39999999999986</v>
      </c>
      <c r="F114" s="570">
        <f>'Food Stock 1-8'!F32+'Food Stock 1-8'!F73</f>
        <v>301.89999999999992</v>
      </c>
      <c r="G114" s="569">
        <f>'Food Stock 1-8'!G32+'Food Stock 1-8'!G73</f>
        <v>0</v>
      </c>
      <c r="H114" s="570">
        <f>'Food Stock 1-8'!H32+'Food Stock 1-8'!H73</f>
        <v>0</v>
      </c>
      <c r="I114" s="569">
        <f>'Food Stock 1-8'!I32+'Food Stock 1-8'!I73</f>
        <v>0</v>
      </c>
      <c r="J114" s="570">
        <f>'Food Stock 1-8'!J32+'Food Stock 1-8'!J73</f>
        <v>0</v>
      </c>
      <c r="K114" s="571">
        <f>'Food Stock 1-8'!K32+'Food Stock 1-8'!K73</f>
        <v>735.39999999999986</v>
      </c>
      <c r="L114" s="572">
        <f>'Food Stock 1-8'!L32+'Food Stock 1-8'!L73</f>
        <v>301.89999999999992</v>
      </c>
      <c r="M114" s="569">
        <f>'Food Stock 1-8'!M32+'Food Stock 1-8'!M73</f>
        <v>0</v>
      </c>
      <c r="N114" s="570">
        <f>'Food Stock 1-8'!N32+'Food Stock 1-8'!N73</f>
        <v>4.3</v>
      </c>
      <c r="O114" s="571">
        <f>'Food Stock 1-8'!O32+'Food Stock 1-8'!O73</f>
        <v>735.39999999999986</v>
      </c>
      <c r="P114" s="573">
        <f>'Food Stock 1-8'!P32+'Food Stock 1-8'!P73</f>
        <v>297.59999999999991</v>
      </c>
      <c r="Q114" s="99">
        <f>'Food Stock 1-8'!Q32+'Food Stock 1-8'!Q73</f>
        <v>280</v>
      </c>
      <c r="R114" s="100">
        <f>'Food Stock 1-8'!R32+'Food Stock 1-8'!R73</f>
        <v>368</v>
      </c>
      <c r="S114" s="103">
        <f>'Food Stock 1-8'!S32+'Food Stock 1-8'!S73</f>
        <v>648</v>
      </c>
      <c r="T114" s="99">
        <f>'Food Stock 1-8'!T32+'Food Stock 1-8'!T73</f>
        <v>15</v>
      </c>
      <c r="U114" s="100">
        <f>'Food Stock 1-8'!U32+'Food Stock 1-8'!U73</f>
        <v>22</v>
      </c>
      <c r="V114" s="103">
        <f>'Food Stock 1-8'!V32+'Food Stock 1-8'!V73</f>
        <v>37</v>
      </c>
      <c r="W114" s="99">
        <f>'Food Stock 1-8'!W32+'Food Stock 1-8'!W73</f>
        <v>15</v>
      </c>
      <c r="X114" s="100">
        <f>'Food Stock 1-8'!X32+'Food Stock 1-8'!X73</f>
        <v>22</v>
      </c>
      <c r="Y114" s="103">
        <f>'Food Stock 1-8'!Y32+'Food Stock 1-8'!Y73</f>
        <v>37</v>
      </c>
      <c r="Z114" s="54"/>
      <c r="AA114" s="763"/>
      <c r="AB114" s="36" t="e">
        <f>#REF!+#REF!+#REF!+#REF!</f>
        <v>#REF!</v>
      </c>
    </row>
    <row r="115" spans="1:28" s="37" customFormat="1" ht="17.25" customHeight="1">
      <c r="A115" s="776"/>
      <c r="B115" s="47">
        <f t="shared" si="22"/>
        <v>26</v>
      </c>
      <c r="C115" s="52">
        <f>'Food-Data Entry'!L32</f>
        <v>45987</v>
      </c>
      <c r="D115" s="53" t="str">
        <f>'Food-Data Entry'!O32</f>
        <v>Wednesday</v>
      </c>
      <c r="E115" s="569">
        <f>'Food Stock 1-8'!E33+'Food Stock 1-8'!E74</f>
        <v>735.39999999999986</v>
      </c>
      <c r="F115" s="570">
        <f>'Food Stock 1-8'!F33+'Food Stock 1-8'!F74</f>
        <v>297.59999999999991</v>
      </c>
      <c r="G115" s="569">
        <f>'Food Stock 1-8'!G33+'Food Stock 1-8'!G74</f>
        <v>0</v>
      </c>
      <c r="H115" s="570">
        <f>'Food Stock 1-8'!H33+'Food Stock 1-8'!H74</f>
        <v>0</v>
      </c>
      <c r="I115" s="569">
        <f>'Food Stock 1-8'!I33+'Food Stock 1-8'!I74</f>
        <v>0</v>
      </c>
      <c r="J115" s="570">
        <f>'Food Stock 1-8'!J33+'Food Stock 1-8'!J74</f>
        <v>0</v>
      </c>
      <c r="K115" s="571">
        <f>'Food Stock 1-8'!K33+'Food Stock 1-8'!K74</f>
        <v>735.39999999999986</v>
      </c>
      <c r="L115" s="572">
        <f>'Food Stock 1-8'!L33+'Food Stock 1-8'!L74</f>
        <v>297.59999999999991</v>
      </c>
      <c r="M115" s="569">
        <f>'Food Stock 1-8'!M33+'Food Stock 1-8'!M74</f>
        <v>4.3</v>
      </c>
      <c r="N115" s="570">
        <f>'Food Stock 1-8'!N33+'Food Stock 1-8'!N74</f>
        <v>0</v>
      </c>
      <c r="O115" s="571">
        <f>'Food Stock 1-8'!O33+'Food Stock 1-8'!O74</f>
        <v>731.0999999999998</v>
      </c>
      <c r="P115" s="573">
        <f>'Food Stock 1-8'!P33+'Food Stock 1-8'!P74</f>
        <v>297.59999999999991</v>
      </c>
      <c r="Q115" s="99">
        <f>'Food Stock 1-8'!Q33+'Food Stock 1-8'!Q74</f>
        <v>280</v>
      </c>
      <c r="R115" s="100">
        <f>'Food Stock 1-8'!R33+'Food Stock 1-8'!R74</f>
        <v>368</v>
      </c>
      <c r="S115" s="103">
        <f>'Food Stock 1-8'!S33+'Food Stock 1-8'!S74</f>
        <v>648</v>
      </c>
      <c r="T115" s="99">
        <f>'Food Stock 1-8'!T33+'Food Stock 1-8'!T74</f>
        <v>15</v>
      </c>
      <c r="U115" s="100">
        <f>'Food Stock 1-8'!U33+'Food Stock 1-8'!U74</f>
        <v>22</v>
      </c>
      <c r="V115" s="103">
        <f>'Food Stock 1-8'!V33+'Food Stock 1-8'!V74</f>
        <v>37</v>
      </c>
      <c r="W115" s="99">
        <f>'Food Stock 1-8'!W33+'Food Stock 1-8'!W74</f>
        <v>15</v>
      </c>
      <c r="X115" s="100">
        <f>'Food Stock 1-8'!X33+'Food Stock 1-8'!X74</f>
        <v>22</v>
      </c>
      <c r="Y115" s="103">
        <f>'Food Stock 1-8'!Y33+'Food Stock 1-8'!Y74</f>
        <v>37</v>
      </c>
      <c r="Z115" s="54"/>
      <c r="AA115" s="763"/>
      <c r="AB115" s="36" t="e">
        <f>#REF!+#REF!+#REF!+#REF!</f>
        <v>#REF!</v>
      </c>
    </row>
    <row r="116" spans="1:28" s="37" customFormat="1" ht="17.25" customHeight="1">
      <c r="A116" s="776"/>
      <c r="B116" s="47">
        <f t="shared" si="22"/>
        <v>27</v>
      </c>
      <c r="C116" s="52">
        <f>'Food-Data Entry'!L33</f>
        <v>45988</v>
      </c>
      <c r="D116" s="53" t="str">
        <f>'Food-Data Entry'!O33</f>
        <v>Thursday</v>
      </c>
      <c r="E116" s="569">
        <f>'Food Stock 1-8'!E34+'Food Stock 1-8'!E75</f>
        <v>731.0999999999998</v>
      </c>
      <c r="F116" s="570">
        <f>'Food Stock 1-8'!F34+'Food Stock 1-8'!F75</f>
        <v>297.59999999999991</v>
      </c>
      <c r="G116" s="569">
        <f>'Food Stock 1-8'!G34+'Food Stock 1-8'!G75</f>
        <v>0</v>
      </c>
      <c r="H116" s="570">
        <f>'Food Stock 1-8'!H34+'Food Stock 1-8'!H75</f>
        <v>0</v>
      </c>
      <c r="I116" s="569">
        <f>'Food Stock 1-8'!I34+'Food Stock 1-8'!I75</f>
        <v>0</v>
      </c>
      <c r="J116" s="570">
        <f>'Food Stock 1-8'!J34+'Food Stock 1-8'!J75</f>
        <v>0</v>
      </c>
      <c r="K116" s="571">
        <f>'Food Stock 1-8'!K34+'Food Stock 1-8'!K75</f>
        <v>731.0999999999998</v>
      </c>
      <c r="L116" s="572">
        <f>'Food Stock 1-8'!L34+'Food Stock 1-8'!L75</f>
        <v>297.59999999999991</v>
      </c>
      <c r="M116" s="569">
        <f>'Food Stock 1-8'!M34+'Food Stock 1-8'!M75</f>
        <v>0</v>
      </c>
      <c r="N116" s="570">
        <f>'Food Stock 1-8'!N34+'Food Stock 1-8'!N75</f>
        <v>4.3</v>
      </c>
      <c r="O116" s="571">
        <f>'Food Stock 1-8'!O34+'Food Stock 1-8'!O75</f>
        <v>731.0999999999998</v>
      </c>
      <c r="P116" s="573">
        <f>'Food Stock 1-8'!P34+'Food Stock 1-8'!P75</f>
        <v>293.2999999999999</v>
      </c>
      <c r="Q116" s="99">
        <f>'Food Stock 1-8'!Q34+'Food Stock 1-8'!Q75</f>
        <v>280</v>
      </c>
      <c r="R116" s="100">
        <f>'Food Stock 1-8'!R34+'Food Stock 1-8'!R75</f>
        <v>368</v>
      </c>
      <c r="S116" s="103">
        <f>'Food Stock 1-8'!S34+'Food Stock 1-8'!S75</f>
        <v>648</v>
      </c>
      <c r="T116" s="99">
        <f>'Food Stock 1-8'!T34+'Food Stock 1-8'!T75</f>
        <v>15</v>
      </c>
      <c r="U116" s="100">
        <f>'Food Stock 1-8'!U34+'Food Stock 1-8'!U75</f>
        <v>22</v>
      </c>
      <c r="V116" s="103">
        <f>'Food Stock 1-8'!V34+'Food Stock 1-8'!V75</f>
        <v>37</v>
      </c>
      <c r="W116" s="99">
        <f>'Food Stock 1-8'!W34+'Food Stock 1-8'!W75</f>
        <v>15</v>
      </c>
      <c r="X116" s="100">
        <f>'Food Stock 1-8'!X34+'Food Stock 1-8'!X75</f>
        <v>22</v>
      </c>
      <c r="Y116" s="103">
        <f>'Food Stock 1-8'!Y34+'Food Stock 1-8'!Y75</f>
        <v>37</v>
      </c>
      <c r="Z116" s="54"/>
      <c r="AA116" s="763"/>
      <c r="AB116" s="36" t="e">
        <f>#REF!+#REF!+#REF!+#REF!</f>
        <v>#REF!</v>
      </c>
    </row>
    <row r="117" spans="1:28" s="37" customFormat="1" ht="17.25" customHeight="1">
      <c r="A117" s="776"/>
      <c r="B117" s="47">
        <f t="shared" si="22"/>
        <v>28</v>
      </c>
      <c r="C117" s="52">
        <f>'Food-Data Entry'!L34</f>
        <v>45989</v>
      </c>
      <c r="D117" s="53" t="str">
        <f>'Food-Data Entry'!O34</f>
        <v>Friday</v>
      </c>
      <c r="E117" s="569">
        <f>'Food Stock 1-8'!E35+'Food Stock 1-8'!E76</f>
        <v>731.0999999999998</v>
      </c>
      <c r="F117" s="570">
        <f>'Food Stock 1-8'!F35+'Food Stock 1-8'!F76</f>
        <v>293.2999999999999</v>
      </c>
      <c r="G117" s="569">
        <f>'Food Stock 1-8'!G35+'Food Stock 1-8'!G76</f>
        <v>0</v>
      </c>
      <c r="H117" s="570">
        <f>'Food Stock 1-8'!H35+'Food Stock 1-8'!H76</f>
        <v>0</v>
      </c>
      <c r="I117" s="569">
        <f>'Food Stock 1-8'!I35+'Food Stock 1-8'!I76</f>
        <v>0</v>
      </c>
      <c r="J117" s="570">
        <f>'Food Stock 1-8'!J35+'Food Stock 1-8'!J76</f>
        <v>0</v>
      </c>
      <c r="K117" s="571">
        <f>'Food Stock 1-8'!K35+'Food Stock 1-8'!K76</f>
        <v>731.0999999999998</v>
      </c>
      <c r="L117" s="572">
        <f>'Food Stock 1-8'!L35+'Food Stock 1-8'!L76</f>
        <v>293.2999999999999</v>
      </c>
      <c r="M117" s="569">
        <f>'Food Stock 1-8'!M35+'Food Stock 1-8'!M76</f>
        <v>4.3</v>
      </c>
      <c r="N117" s="570">
        <f>'Food Stock 1-8'!N35+'Food Stock 1-8'!N76</f>
        <v>0</v>
      </c>
      <c r="O117" s="571">
        <f>'Food Stock 1-8'!O35+'Food Stock 1-8'!O76</f>
        <v>726.79999999999973</v>
      </c>
      <c r="P117" s="573">
        <f>'Food Stock 1-8'!P35+'Food Stock 1-8'!P76</f>
        <v>293.2999999999999</v>
      </c>
      <c r="Q117" s="99">
        <f>'Food Stock 1-8'!Q35+'Food Stock 1-8'!Q76</f>
        <v>280</v>
      </c>
      <c r="R117" s="100">
        <f>'Food Stock 1-8'!R35+'Food Stock 1-8'!R76</f>
        <v>368</v>
      </c>
      <c r="S117" s="103">
        <f>'Food Stock 1-8'!S35+'Food Stock 1-8'!S76</f>
        <v>648</v>
      </c>
      <c r="T117" s="99">
        <f>'Food Stock 1-8'!T35+'Food Stock 1-8'!T76</f>
        <v>15</v>
      </c>
      <c r="U117" s="100">
        <f>'Food Stock 1-8'!U35+'Food Stock 1-8'!U76</f>
        <v>22</v>
      </c>
      <c r="V117" s="103">
        <f>'Food Stock 1-8'!V35+'Food Stock 1-8'!V76</f>
        <v>37</v>
      </c>
      <c r="W117" s="99">
        <f>'Food Stock 1-8'!W35+'Food Stock 1-8'!W76</f>
        <v>15</v>
      </c>
      <c r="X117" s="100">
        <f>'Food Stock 1-8'!X35+'Food Stock 1-8'!X76</f>
        <v>22</v>
      </c>
      <c r="Y117" s="103">
        <f>'Food Stock 1-8'!Y35+'Food Stock 1-8'!Y76</f>
        <v>37</v>
      </c>
      <c r="Z117" s="54"/>
      <c r="AA117" s="763"/>
      <c r="AB117" s="36" t="e">
        <f>#REF!+#REF!+#REF!+#REF!</f>
        <v>#REF!</v>
      </c>
    </row>
    <row r="118" spans="1:28" s="37" customFormat="1" ht="17.25" customHeight="1">
      <c r="A118" s="776"/>
      <c r="B118" s="47">
        <f t="shared" si="22"/>
        <v>29</v>
      </c>
      <c r="C118" s="52">
        <f>'Food-Data Entry'!L35</f>
        <v>45990</v>
      </c>
      <c r="D118" s="53" t="str">
        <f>'Food-Data Entry'!O35</f>
        <v>Saturday</v>
      </c>
      <c r="E118" s="569">
        <f>'Food Stock 1-8'!E36+'Food Stock 1-8'!E77</f>
        <v>726.79999999999973</v>
      </c>
      <c r="F118" s="570">
        <f>'Food Stock 1-8'!F36+'Food Stock 1-8'!F77</f>
        <v>293.2999999999999</v>
      </c>
      <c r="G118" s="569">
        <f>'Food Stock 1-8'!G36+'Food Stock 1-8'!G77</f>
        <v>0</v>
      </c>
      <c r="H118" s="570">
        <f>'Food Stock 1-8'!H36+'Food Stock 1-8'!H77</f>
        <v>0</v>
      </c>
      <c r="I118" s="569">
        <f>'Food Stock 1-8'!I36+'Food Stock 1-8'!I77</f>
        <v>0</v>
      </c>
      <c r="J118" s="570">
        <f>'Food Stock 1-8'!J36+'Food Stock 1-8'!J77</f>
        <v>0</v>
      </c>
      <c r="K118" s="571">
        <f>'Food Stock 1-8'!K36+'Food Stock 1-8'!K77</f>
        <v>726.79999999999973</v>
      </c>
      <c r="L118" s="572">
        <f>'Food Stock 1-8'!L36+'Food Stock 1-8'!L77</f>
        <v>293.2999999999999</v>
      </c>
      <c r="M118" s="569">
        <f>'Food Stock 1-8'!M36+'Food Stock 1-8'!M77</f>
        <v>4.3</v>
      </c>
      <c r="N118" s="570">
        <f>'Food Stock 1-8'!N36+'Food Stock 1-8'!N77</f>
        <v>0</v>
      </c>
      <c r="O118" s="571">
        <f>'Food Stock 1-8'!O36+'Food Stock 1-8'!O77</f>
        <v>722.49999999999977</v>
      </c>
      <c r="P118" s="573">
        <f>'Food Stock 1-8'!P36+'Food Stock 1-8'!P77</f>
        <v>293.2999999999999</v>
      </c>
      <c r="Q118" s="99">
        <f>'Food Stock 1-8'!Q36+'Food Stock 1-8'!Q77</f>
        <v>280</v>
      </c>
      <c r="R118" s="100">
        <f>'Food Stock 1-8'!R36+'Food Stock 1-8'!R77</f>
        <v>368</v>
      </c>
      <c r="S118" s="103">
        <f>'Food Stock 1-8'!S36+'Food Stock 1-8'!S77</f>
        <v>648</v>
      </c>
      <c r="T118" s="99">
        <f>'Food Stock 1-8'!T36+'Food Stock 1-8'!T77</f>
        <v>15</v>
      </c>
      <c r="U118" s="100">
        <f>'Food Stock 1-8'!U36+'Food Stock 1-8'!U77</f>
        <v>22</v>
      </c>
      <c r="V118" s="103">
        <f>'Food Stock 1-8'!V36+'Food Stock 1-8'!V77</f>
        <v>37</v>
      </c>
      <c r="W118" s="99">
        <f>'Food Stock 1-8'!W36+'Food Stock 1-8'!W77</f>
        <v>15</v>
      </c>
      <c r="X118" s="100">
        <f>'Food Stock 1-8'!X36+'Food Stock 1-8'!X77</f>
        <v>22</v>
      </c>
      <c r="Y118" s="103">
        <f>'Food Stock 1-8'!Y36+'Food Stock 1-8'!Y77</f>
        <v>37</v>
      </c>
      <c r="Z118" s="54"/>
      <c r="AA118" s="763"/>
      <c r="AB118" s="36" t="e">
        <f>#REF!+#REF!+#REF!+#REF!</f>
        <v>#REF!</v>
      </c>
    </row>
    <row r="119" spans="1:28" s="37" customFormat="1" ht="17.25" customHeight="1">
      <c r="A119" s="776"/>
      <c r="B119" s="47">
        <f t="shared" si="22"/>
        <v>30</v>
      </c>
      <c r="C119" s="52">
        <f>'Food-Data Entry'!L36</f>
        <v>45991</v>
      </c>
      <c r="D119" s="53" t="str">
        <f>'Food-Data Entry'!O36</f>
        <v>Holiday</v>
      </c>
      <c r="E119" s="569">
        <f>'Food Stock 1-8'!E37+'Food Stock 1-8'!E78</f>
        <v>722.49999999999977</v>
      </c>
      <c r="F119" s="570">
        <f>'Food Stock 1-8'!F37+'Food Stock 1-8'!F78</f>
        <v>293.2999999999999</v>
      </c>
      <c r="G119" s="569">
        <f>'Food Stock 1-8'!G37+'Food Stock 1-8'!G78</f>
        <v>0</v>
      </c>
      <c r="H119" s="570">
        <f>'Food Stock 1-8'!H37+'Food Stock 1-8'!H78</f>
        <v>0</v>
      </c>
      <c r="I119" s="569">
        <f>'Food Stock 1-8'!I37+'Food Stock 1-8'!I78</f>
        <v>0</v>
      </c>
      <c r="J119" s="570">
        <f>'Food Stock 1-8'!J37+'Food Stock 1-8'!J78</f>
        <v>0</v>
      </c>
      <c r="K119" s="571">
        <f>'Food Stock 1-8'!K37+'Food Stock 1-8'!K78</f>
        <v>722.49999999999977</v>
      </c>
      <c r="L119" s="572">
        <f>'Food Stock 1-8'!L37+'Food Stock 1-8'!L78</f>
        <v>293.2999999999999</v>
      </c>
      <c r="M119" s="569">
        <f>'Food Stock 1-8'!M37+'Food Stock 1-8'!M78</f>
        <v>0</v>
      </c>
      <c r="N119" s="570">
        <f>'Food Stock 1-8'!N37+'Food Stock 1-8'!N78</f>
        <v>0</v>
      </c>
      <c r="O119" s="571">
        <f>'Food Stock 1-8'!O37+'Food Stock 1-8'!O78</f>
        <v>722.49999999999977</v>
      </c>
      <c r="P119" s="573">
        <f>'Food Stock 1-8'!P37+'Food Stock 1-8'!P78</f>
        <v>293.2999999999999</v>
      </c>
      <c r="Q119" s="99">
        <f>'Food Stock 1-8'!Q37+'Food Stock 1-8'!Q78</f>
        <v>280</v>
      </c>
      <c r="R119" s="100">
        <f>'Food Stock 1-8'!R37+'Food Stock 1-8'!R78</f>
        <v>368</v>
      </c>
      <c r="S119" s="103">
        <f>'Food Stock 1-8'!S37+'Food Stock 1-8'!S78</f>
        <v>648</v>
      </c>
      <c r="T119" s="99">
        <f>'Food Stock 1-8'!T37+'Food Stock 1-8'!T78</f>
        <v>0</v>
      </c>
      <c r="U119" s="100">
        <f>'Food Stock 1-8'!U37+'Food Stock 1-8'!U78</f>
        <v>0</v>
      </c>
      <c r="V119" s="103">
        <f>'Food Stock 1-8'!V37+'Food Stock 1-8'!V78</f>
        <v>0</v>
      </c>
      <c r="W119" s="99">
        <f>'Food Stock 1-8'!W37+'Food Stock 1-8'!W78</f>
        <v>0</v>
      </c>
      <c r="X119" s="100">
        <f>'Food Stock 1-8'!X37+'Food Stock 1-8'!X78</f>
        <v>0</v>
      </c>
      <c r="Y119" s="103">
        <f>'Food Stock 1-8'!Y37+'Food Stock 1-8'!Y78</f>
        <v>0</v>
      </c>
      <c r="Z119" s="54"/>
      <c r="AA119" s="763"/>
      <c r="AB119" s="36" t="e">
        <f>#REF!+#REF!+#REF!+#REF!</f>
        <v>#REF!</v>
      </c>
    </row>
    <row r="120" spans="1:28" s="37" customFormat="1" ht="17.25" customHeight="1" thickBot="1">
      <c r="A120" s="776"/>
      <c r="B120" s="59">
        <f t="shared" si="22"/>
        <v>0</v>
      </c>
      <c r="C120" s="55" t="str">
        <f>'Food-Data Entry'!L37</f>
        <v>---</v>
      </c>
      <c r="D120" s="56" t="str">
        <f>'Food-Data Entry'!O37</f>
        <v>---</v>
      </c>
      <c r="E120" s="574">
        <f>'Food Stock 1-8'!E38+'Food Stock 1-8'!E79</f>
        <v>722.49999999999977</v>
      </c>
      <c r="F120" s="575">
        <f>'Food Stock 1-8'!F38+'Food Stock 1-8'!F79</f>
        <v>293.2999999999999</v>
      </c>
      <c r="G120" s="574">
        <f>'Food Stock 1-8'!G38+'Food Stock 1-8'!G79</f>
        <v>0</v>
      </c>
      <c r="H120" s="575">
        <f>'Food Stock 1-8'!H38+'Food Stock 1-8'!H79</f>
        <v>0</v>
      </c>
      <c r="I120" s="574">
        <f>'Food Stock 1-8'!I38+'Food Stock 1-8'!I79</f>
        <v>0</v>
      </c>
      <c r="J120" s="575">
        <f>'Food Stock 1-8'!J38+'Food Stock 1-8'!J79</f>
        <v>0</v>
      </c>
      <c r="K120" s="576">
        <f>'Food Stock 1-8'!K38+'Food Stock 1-8'!K79</f>
        <v>722.49999999999977</v>
      </c>
      <c r="L120" s="577">
        <f>'Food Stock 1-8'!L38+'Food Stock 1-8'!L79</f>
        <v>293.2999999999999</v>
      </c>
      <c r="M120" s="578">
        <f>'Food Stock 1-8'!M38+'Food Stock 1-8'!M79</f>
        <v>0</v>
      </c>
      <c r="N120" s="579">
        <f>'Food Stock 1-8'!N38+'Food Stock 1-8'!N79</f>
        <v>0</v>
      </c>
      <c r="O120" s="580">
        <f>'Food Stock 1-8'!O38+'Food Stock 1-8'!O79</f>
        <v>722.49999999999977</v>
      </c>
      <c r="P120" s="581">
        <f>'Food Stock 1-8'!P38+'Food Stock 1-8'!P79</f>
        <v>293.2999999999999</v>
      </c>
      <c r="Q120" s="101" t="e">
        <f>'Food Stock 1-8'!Q38+'Food Stock 1-8'!Q79</f>
        <v>#VALUE!</v>
      </c>
      <c r="R120" s="102" t="e">
        <f>'Food Stock 1-8'!R38+'Food Stock 1-8'!R79</f>
        <v>#VALUE!</v>
      </c>
      <c r="S120" s="104">
        <f>'Food Stock 1-8'!S38+'Food Stock 1-8'!S79</f>
        <v>0</v>
      </c>
      <c r="T120" s="101">
        <f>'Food Stock 1-8'!T38+'Food Stock 1-8'!T79</f>
        <v>15</v>
      </c>
      <c r="U120" s="102">
        <f>'Food Stock 1-8'!U38+'Food Stock 1-8'!U79</f>
        <v>22</v>
      </c>
      <c r="V120" s="104">
        <f>'Food Stock 1-8'!V38+'Food Stock 1-8'!V79</f>
        <v>37</v>
      </c>
      <c r="W120" s="101">
        <f>'Food Stock 1-8'!W38+'Food Stock 1-8'!W79</f>
        <v>15</v>
      </c>
      <c r="X120" s="102">
        <f>'Food Stock 1-8'!X38+'Food Stock 1-8'!X79</f>
        <v>22</v>
      </c>
      <c r="Y120" s="104">
        <f>'Food Stock 1-8'!Y38+'Food Stock 1-8'!Y79</f>
        <v>37</v>
      </c>
      <c r="Z120" s="60"/>
      <c r="AA120" s="763"/>
      <c r="AB120" s="36" t="e">
        <f>#REF!+#REF!+#REF!+#REF!</f>
        <v>#REF!</v>
      </c>
    </row>
    <row r="121" spans="1:28" s="37" customFormat="1" ht="21.75" customHeight="1">
      <c r="A121" s="776"/>
      <c r="B121" s="1303" t="s">
        <v>161</v>
      </c>
      <c r="C121" s="1304"/>
      <c r="D121" s="105" t="s">
        <v>162</v>
      </c>
      <c r="E121" s="1307">
        <f>'Food Stock 1-8'!E39+'Food Stock 1-8'!E80</f>
        <v>0</v>
      </c>
      <c r="F121" s="1307"/>
      <c r="G121" s="1308"/>
      <c r="H121" s="1303" t="s">
        <v>164</v>
      </c>
      <c r="I121" s="1304"/>
      <c r="J121" s="1309"/>
      <c r="K121" s="1311" t="s">
        <v>162</v>
      </c>
      <c r="L121" s="1312"/>
      <c r="M121" s="1307">
        <f>'Food Stock 1-8'!M39+'Food Stock 1-8'!M81</f>
        <v>0</v>
      </c>
      <c r="N121" s="1307"/>
      <c r="O121" s="1308"/>
      <c r="P121" s="1313" t="s">
        <v>165</v>
      </c>
      <c r="Q121" s="1314"/>
      <c r="R121" s="1314"/>
      <c r="S121" s="1315"/>
      <c r="T121" s="1319" t="s">
        <v>166</v>
      </c>
      <c r="U121" s="1320"/>
      <c r="V121" s="1320"/>
      <c r="W121" s="1321">
        <f>'Food Stock 1-8'!W39+'Food Stock 1-8'!W80</f>
        <v>722.49999999999977</v>
      </c>
      <c r="X121" s="1321"/>
      <c r="Y121" s="1321"/>
      <c r="Z121" s="1322"/>
      <c r="AA121" s="763"/>
      <c r="AB121" s="36"/>
    </row>
    <row r="122" spans="1:28" s="37" customFormat="1" ht="21.75" customHeight="1" thickBot="1">
      <c r="A122" s="776"/>
      <c r="B122" s="1305"/>
      <c r="C122" s="1306"/>
      <c r="D122" s="106" t="s">
        <v>163</v>
      </c>
      <c r="E122" s="1323">
        <f>'Food Stock 1-8'!E40+'Food Stock 1-8'!E81</f>
        <v>0</v>
      </c>
      <c r="F122" s="1323"/>
      <c r="G122" s="1324"/>
      <c r="H122" s="1305"/>
      <c r="I122" s="1306"/>
      <c r="J122" s="1310"/>
      <c r="K122" s="1325" t="s">
        <v>163</v>
      </c>
      <c r="L122" s="1326"/>
      <c r="M122" s="1323">
        <f>'Food Stock 1-8'!M40+'Food Stock 1-8'!M81</f>
        <v>0</v>
      </c>
      <c r="N122" s="1323"/>
      <c r="O122" s="1324"/>
      <c r="P122" s="1316"/>
      <c r="Q122" s="1317"/>
      <c r="R122" s="1317"/>
      <c r="S122" s="1318"/>
      <c r="T122" s="1327" t="s">
        <v>167</v>
      </c>
      <c r="U122" s="1327"/>
      <c r="V122" s="1327"/>
      <c r="W122" s="1328">
        <f>'Food Stock 1-8'!W40+'Food Stock 1-8'!W81</f>
        <v>293.2999999999999</v>
      </c>
      <c r="X122" s="1328"/>
      <c r="Y122" s="1328"/>
      <c r="Z122" s="1329"/>
      <c r="AA122" s="763"/>
      <c r="AB122" s="36"/>
    </row>
    <row r="123" spans="1:28" ht="15">
      <c r="A123" s="776"/>
      <c r="B123" s="1330"/>
      <c r="C123" s="1330"/>
      <c r="D123" s="1330"/>
      <c r="E123" s="1330"/>
      <c r="F123" s="1330"/>
      <c r="G123" s="1330"/>
      <c r="H123" s="1330"/>
      <c r="I123" s="1330"/>
      <c r="J123" s="1330"/>
      <c r="K123" s="1330"/>
      <c r="L123" s="1330"/>
      <c r="M123" s="1330"/>
      <c r="N123" s="1330"/>
      <c r="O123" s="65"/>
      <c r="P123" s="65"/>
      <c r="Q123" s="65"/>
      <c r="R123" s="65"/>
      <c r="S123" s="65"/>
      <c r="T123" s="65"/>
      <c r="U123" s="65"/>
      <c r="V123" s="65"/>
      <c r="W123" s="65"/>
      <c r="X123" s="65"/>
      <c r="Y123" s="65"/>
      <c r="Z123" s="32"/>
      <c r="AA123" s="763"/>
    </row>
  </sheetData>
  <sheetProtection password="E8FA" sheet="1" objects="1" scenarios="1" formatCells="0" formatColumns="0" formatRows="0" selectLockedCells="1"/>
  <mergeCells count="136">
    <mergeCell ref="K40:L40"/>
    <mergeCell ref="B39:C40"/>
    <mergeCell ref="E39:G39"/>
    <mergeCell ref="E40:G40"/>
    <mergeCell ref="H39:J40"/>
    <mergeCell ref="M39:O39"/>
    <mergeCell ref="M40:O40"/>
    <mergeCell ref="P39:S40"/>
    <mergeCell ref="A1:Z1"/>
    <mergeCell ref="V3:W3"/>
    <mergeCell ref="X3:Z3"/>
    <mergeCell ref="AA1:AA41"/>
    <mergeCell ref="A2:A41"/>
    <mergeCell ref="B2:Z2"/>
    <mergeCell ref="B3:D3"/>
    <mergeCell ref="B4:B7"/>
    <mergeCell ref="C4:C7"/>
    <mergeCell ref="B41:N41"/>
    <mergeCell ref="E5:F5"/>
    <mergeCell ref="E6:F6"/>
    <mergeCell ref="G6:H6"/>
    <mergeCell ref="G5:H5"/>
    <mergeCell ref="I6:J6"/>
    <mergeCell ref="D4:D7"/>
    <mergeCell ref="O5:P5"/>
    <mergeCell ref="O6:P6"/>
    <mergeCell ref="E4:P4"/>
    <mergeCell ref="K5:L5"/>
    <mergeCell ref="K6:L6"/>
    <mergeCell ref="M6:N6"/>
    <mergeCell ref="M5:N5"/>
    <mergeCell ref="Z4:Z7"/>
    <mergeCell ref="Q4:Y4"/>
    <mergeCell ref="K39:L39"/>
    <mergeCell ref="E3:U3"/>
    <mergeCell ref="B82:N82"/>
    <mergeCell ref="T39:V39"/>
    <mergeCell ref="T40:V40"/>
    <mergeCell ref="W39:Z39"/>
    <mergeCell ref="W40:Z40"/>
    <mergeCell ref="Q5:S5"/>
    <mergeCell ref="T5:V5"/>
    <mergeCell ref="W5:Y5"/>
    <mergeCell ref="Q6:S6"/>
    <mergeCell ref="T6:V6"/>
    <mergeCell ref="W6:Y6"/>
    <mergeCell ref="I5:J5"/>
    <mergeCell ref="G47:H47"/>
    <mergeCell ref="I47:J47"/>
    <mergeCell ref="K47:L47"/>
    <mergeCell ref="M47:N47"/>
    <mergeCell ref="O47:P47"/>
    <mergeCell ref="Q47:S47"/>
    <mergeCell ref="T47:V47"/>
    <mergeCell ref="W47:Y47"/>
    <mergeCell ref="B80:C81"/>
    <mergeCell ref="E80:G80"/>
    <mergeCell ref="H80:J81"/>
    <mergeCell ref="K80:L80"/>
    <mergeCell ref="M80:O80"/>
    <mergeCell ref="P80:S81"/>
    <mergeCell ref="T80:V80"/>
    <mergeCell ref="W80:Z80"/>
    <mergeCell ref="E81:G81"/>
    <mergeCell ref="K81:L81"/>
    <mergeCell ref="M81:O81"/>
    <mergeCell ref="T81:V81"/>
    <mergeCell ref="W81:Z81"/>
    <mergeCell ref="B123:N123"/>
    <mergeCell ref="A42:Z42"/>
    <mergeCell ref="AA42:AA82"/>
    <mergeCell ref="A43:A82"/>
    <mergeCell ref="B43:Z43"/>
    <mergeCell ref="B44:D44"/>
    <mergeCell ref="E44:O44"/>
    <mergeCell ref="P44:Z44"/>
    <mergeCell ref="B45:B48"/>
    <mergeCell ref="C45:C48"/>
    <mergeCell ref="D45:D48"/>
    <mergeCell ref="E45:P45"/>
    <mergeCell ref="Q45:Y45"/>
    <mergeCell ref="Z45:Z48"/>
    <mergeCell ref="E46:F46"/>
    <mergeCell ref="G46:H46"/>
    <mergeCell ref="I46:J46"/>
    <mergeCell ref="K46:L46"/>
    <mergeCell ref="M46:N46"/>
    <mergeCell ref="O46:P46"/>
    <mergeCell ref="Q46:S46"/>
    <mergeCell ref="T46:V46"/>
    <mergeCell ref="W46:Y46"/>
    <mergeCell ref="E47:F47"/>
    <mergeCell ref="I88:J88"/>
    <mergeCell ref="K88:L88"/>
    <mergeCell ref="M88:N88"/>
    <mergeCell ref="O88:P88"/>
    <mergeCell ref="Q88:S88"/>
    <mergeCell ref="T88:V88"/>
    <mergeCell ref="W88:Y88"/>
    <mergeCell ref="B121:C122"/>
    <mergeCell ref="E121:G121"/>
    <mergeCell ref="H121:J122"/>
    <mergeCell ref="K121:L121"/>
    <mergeCell ref="M121:O121"/>
    <mergeCell ref="P121:S122"/>
    <mergeCell ref="T121:V121"/>
    <mergeCell ref="W121:Z121"/>
    <mergeCell ref="E122:G122"/>
    <mergeCell ref="K122:L122"/>
    <mergeCell ref="M122:O122"/>
    <mergeCell ref="T122:V122"/>
    <mergeCell ref="W122:Z122"/>
    <mergeCell ref="A83:Z83"/>
    <mergeCell ref="AA83:AA123"/>
    <mergeCell ref="A84:A123"/>
    <mergeCell ref="B84:Z84"/>
    <mergeCell ref="B85:D85"/>
    <mergeCell ref="E85:O85"/>
    <mergeCell ref="P85:Z85"/>
    <mergeCell ref="B86:B89"/>
    <mergeCell ref="C86:C89"/>
    <mergeCell ref="D86:D89"/>
    <mergeCell ref="E86:P86"/>
    <mergeCell ref="Q86:Y86"/>
    <mergeCell ref="Z86:Z89"/>
    <mergeCell ref="E87:F87"/>
    <mergeCell ref="G87:H87"/>
    <mergeCell ref="I87:J87"/>
    <mergeCell ref="K87:L87"/>
    <mergeCell ref="M87:N87"/>
    <mergeCell ref="O87:P87"/>
    <mergeCell ref="Q87:S87"/>
    <mergeCell ref="T87:V87"/>
    <mergeCell ref="W87:Y87"/>
    <mergeCell ref="E88:F88"/>
    <mergeCell ref="G88:H88"/>
  </mergeCells>
  <conditionalFormatting sqref="B36:B38 E8:Z38">
    <cfRule type="expression" dxfId="14" priority="5">
      <formula>$B8=0</formula>
    </cfRule>
  </conditionalFormatting>
  <conditionalFormatting sqref="B8:Z38">
    <cfRule type="expression" dxfId="13" priority="6">
      <formula>$D8="holiday"</formula>
    </cfRule>
  </conditionalFormatting>
  <conditionalFormatting sqref="B77:B79 E49:Z79">
    <cfRule type="expression" dxfId="12" priority="4">
      <formula>$B49=0</formula>
    </cfRule>
  </conditionalFormatting>
  <conditionalFormatting sqref="B49:Z79">
    <cfRule type="expression" dxfId="11" priority="3">
      <formula>$D49="holiday"</formula>
    </cfRule>
  </conditionalFormatting>
  <conditionalFormatting sqref="B118:B120 E90:Z120">
    <cfRule type="expression" dxfId="10" priority="2">
      <formula>$B90=0</formula>
    </cfRule>
  </conditionalFormatting>
  <conditionalFormatting sqref="B90:Z120">
    <cfRule type="expression" dxfId="9" priority="1">
      <formula>$D90="holiday"</formula>
    </cfRule>
  </conditionalFormatting>
  <pageMargins left="0.21" right="0.18" top="0.22" bottom="0.16" header="0.19" footer="0.14000000000000001"/>
  <pageSetup paperSize="9" scale="82" orientation="landscape" r:id="rId1"/>
</worksheet>
</file>

<file path=xl/worksheets/sheet9.xml><?xml version="1.0" encoding="utf-8"?>
<worksheet xmlns="http://schemas.openxmlformats.org/spreadsheetml/2006/main" xmlns:r="http://schemas.openxmlformats.org/officeDocument/2006/relationships">
  <sheetPr>
    <tabColor theme="0"/>
  </sheetPr>
  <dimension ref="A1:XFC113"/>
  <sheetViews>
    <sheetView showGridLines="0" topLeftCell="J1" zoomScale="85" zoomScaleNormal="85" workbookViewId="0">
      <selection activeCell="Y9" sqref="Y9:Y10"/>
    </sheetView>
  </sheetViews>
  <sheetFormatPr defaultColWidth="0" defaultRowHeight="15" zeroHeight="1"/>
  <cols>
    <col min="1" max="1" width="3" style="17" customWidth="1"/>
    <col min="2" max="2" width="7.28515625" style="17" hidden="1" customWidth="1"/>
    <col min="3" max="3" width="4.28515625" style="33" customWidth="1"/>
    <col min="4" max="5" width="4.85546875" style="33" customWidth="1"/>
    <col min="6" max="6" width="4.28515625" style="33" customWidth="1"/>
    <col min="7" max="7" width="3.7109375" style="33" customWidth="1"/>
    <col min="8" max="8" width="5.42578125" style="33" customWidth="1"/>
    <col min="9" max="17" width="4.85546875" style="33" customWidth="1"/>
    <col min="18" max="18" width="7.140625" style="33" customWidth="1"/>
    <col min="19" max="19" width="10.85546875" style="33" customWidth="1"/>
    <col min="20" max="20" width="10.7109375" style="33" customWidth="1"/>
    <col min="21" max="21" width="7.140625" style="33" customWidth="1"/>
    <col min="22" max="22" width="12" style="33" customWidth="1"/>
    <col min="23" max="23" width="12.42578125" style="33" customWidth="1"/>
    <col min="24" max="24" width="7.140625" style="33" customWidth="1"/>
    <col min="25" max="25" width="10.7109375" style="33" customWidth="1"/>
    <col min="26" max="26" width="10.85546875" style="33" hidden="1" customWidth="1"/>
    <col min="27" max="27" width="9.7109375" style="33" customWidth="1"/>
    <col min="28" max="31" width="7.140625" style="33" customWidth="1"/>
    <col min="32" max="33" width="8.140625" style="33" customWidth="1"/>
    <col min="34" max="34" width="7" style="33" customWidth="1"/>
    <col min="35" max="36" width="7.140625" style="33" customWidth="1"/>
    <col min="37" max="39" width="8.140625" style="33" customWidth="1"/>
    <col min="40" max="40" width="11.85546875" style="17" customWidth="1"/>
    <col min="41" max="41" width="4.140625" style="17" customWidth="1"/>
    <col min="42" max="16383" width="9.140625" style="17" hidden="1"/>
    <col min="16384" max="16384" width="4.7109375" style="17" hidden="1"/>
  </cols>
  <sheetData>
    <row r="1" spans="1:42" ht="15.75" thickBot="1">
      <c r="A1" s="763"/>
      <c r="B1" s="763"/>
      <c r="C1" s="763"/>
      <c r="D1" s="763"/>
      <c r="E1" s="763"/>
      <c r="F1" s="763"/>
      <c r="G1" s="763"/>
      <c r="H1" s="763"/>
      <c r="I1" s="763"/>
      <c r="J1" s="763"/>
      <c r="K1" s="763"/>
      <c r="L1" s="763"/>
      <c r="M1" s="763"/>
      <c r="N1" s="763"/>
      <c r="O1" s="763"/>
      <c r="P1" s="763"/>
      <c r="Q1" s="763"/>
      <c r="R1" s="763"/>
      <c r="S1" s="763"/>
      <c r="T1" s="763"/>
      <c r="U1" s="763"/>
      <c r="V1" s="763"/>
      <c r="W1" s="763"/>
      <c r="X1" s="763"/>
      <c r="Y1" s="763"/>
      <c r="Z1" s="763"/>
      <c r="AA1" s="763"/>
      <c r="AB1" s="763"/>
      <c r="AC1" s="763"/>
      <c r="AD1" s="763"/>
      <c r="AE1" s="763"/>
      <c r="AF1" s="763"/>
      <c r="AG1" s="763"/>
      <c r="AH1" s="763"/>
      <c r="AI1" s="763"/>
      <c r="AJ1" s="763"/>
      <c r="AK1" s="763"/>
      <c r="AL1" s="763"/>
      <c r="AM1" s="763"/>
      <c r="AN1" s="763"/>
      <c r="AO1" s="763"/>
    </row>
    <row r="2" spans="1:42" ht="21.75" customHeight="1" thickBot="1">
      <c r="A2" s="776"/>
      <c r="B2" s="269"/>
      <c r="C2" s="1514" t="s">
        <v>190</v>
      </c>
      <c r="D2" s="1515"/>
      <c r="E2" s="1515"/>
      <c r="F2" s="1515"/>
      <c r="G2" s="1515"/>
      <c r="H2" s="1515"/>
      <c r="I2" s="1515"/>
      <c r="J2" s="1515"/>
      <c r="K2" s="1515"/>
      <c r="L2" s="1515"/>
      <c r="M2" s="1516"/>
      <c r="N2" s="1341" t="s">
        <v>440</v>
      </c>
      <c r="O2" s="1342"/>
      <c r="P2" s="1342"/>
      <c r="Q2" s="1342"/>
      <c r="R2" s="1342"/>
      <c r="S2" s="1342"/>
      <c r="T2" s="1342"/>
      <c r="U2" s="1342"/>
      <c r="V2" s="1342"/>
      <c r="W2" s="1342"/>
      <c r="X2" s="1342"/>
      <c r="Y2" s="1342"/>
      <c r="Z2" s="1342"/>
      <c r="AA2" s="1342"/>
      <c r="AB2" s="1342"/>
      <c r="AC2" s="1342"/>
      <c r="AD2" s="1342"/>
      <c r="AE2" s="1342"/>
      <c r="AF2" s="1342"/>
      <c r="AG2" s="1342"/>
      <c r="AH2" s="1343"/>
      <c r="AI2" s="1520" t="s">
        <v>200</v>
      </c>
      <c r="AJ2" s="1521"/>
      <c r="AK2" s="1522"/>
      <c r="AL2" s="1522" t="s">
        <v>128</v>
      </c>
      <c r="AM2" s="1522"/>
      <c r="AN2" s="474" t="s">
        <v>129</v>
      </c>
      <c r="AO2" s="763"/>
    </row>
    <row r="3" spans="1:42" ht="18.75" customHeight="1">
      <c r="A3" s="776"/>
      <c r="B3" s="269"/>
      <c r="C3" s="1361" t="s">
        <v>191</v>
      </c>
      <c r="D3" s="1359" t="s">
        <v>192</v>
      </c>
      <c r="E3" s="1359" t="s">
        <v>193</v>
      </c>
      <c r="F3" s="1359" t="s">
        <v>194</v>
      </c>
      <c r="G3" s="1359" t="s">
        <v>195</v>
      </c>
      <c r="H3" s="1346" t="s">
        <v>130</v>
      </c>
      <c r="I3" s="1361" t="s">
        <v>196</v>
      </c>
      <c r="J3" s="1359" t="s">
        <v>197</v>
      </c>
      <c r="K3" s="1359" t="s">
        <v>198</v>
      </c>
      <c r="L3" s="1346" t="s">
        <v>130</v>
      </c>
      <c r="M3" s="1344" t="s">
        <v>199</v>
      </c>
      <c r="N3" s="1353" t="str">
        <f ca="1">'Food Stock 1-8'!B2</f>
        <v>Office: Govt. Sr. Sec. School Raimalwada, Bapini (Jodhpur)</v>
      </c>
      <c r="O3" s="1354"/>
      <c r="P3" s="1354"/>
      <c r="Q3" s="1354"/>
      <c r="R3" s="1354"/>
      <c r="S3" s="1354"/>
      <c r="T3" s="1354"/>
      <c r="U3" s="1354"/>
      <c r="V3" s="1354"/>
      <c r="W3" s="1354"/>
      <c r="X3" s="1354"/>
      <c r="Y3" s="1354"/>
      <c r="Z3" s="1354"/>
      <c r="AA3" s="1354"/>
      <c r="AB3" s="1354"/>
      <c r="AC3" s="1354"/>
      <c r="AD3" s="1354"/>
      <c r="AE3" s="1354"/>
      <c r="AF3" s="1354"/>
      <c r="AG3" s="1354"/>
      <c r="AH3" s="1355"/>
      <c r="AI3" s="1523" t="s">
        <v>201</v>
      </c>
      <c r="AJ3" s="1524"/>
      <c r="AK3" s="1525"/>
      <c r="AL3" s="1529">
        <f>'School Info'!C21</f>
        <v>15</v>
      </c>
      <c r="AM3" s="1530"/>
      <c r="AN3" s="611">
        <f>'School Info'!E21</f>
        <v>20</v>
      </c>
      <c r="AO3" s="763"/>
    </row>
    <row r="4" spans="1:42" ht="18.75" customHeight="1" thickBot="1">
      <c r="A4" s="776"/>
      <c r="B4" s="269"/>
      <c r="C4" s="1362"/>
      <c r="D4" s="1360"/>
      <c r="E4" s="1360"/>
      <c r="F4" s="1360"/>
      <c r="G4" s="1360"/>
      <c r="H4" s="1347"/>
      <c r="I4" s="1362"/>
      <c r="J4" s="1360"/>
      <c r="K4" s="1360"/>
      <c r="L4" s="1347"/>
      <c r="M4" s="1345"/>
      <c r="N4" s="1356"/>
      <c r="O4" s="1357"/>
      <c r="P4" s="1357"/>
      <c r="Q4" s="1357"/>
      <c r="R4" s="1357"/>
      <c r="S4" s="1357"/>
      <c r="T4" s="1357"/>
      <c r="U4" s="1357"/>
      <c r="V4" s="1357"/>
      <c r="W4" s="1357"/>
      <c r="X4" s="1357"/>
      <c r="Y4" s="1357"/>
      <c r="Z4" s="1357"/>
      <c r="AA4" s="1357"/>
      <c r="AB4" s="1357"/>
      <c r="AC4" s="1357"/>
      <c r="AD4" s="1357"/>
      <c r="AE4" s="1357"/>
      <c r="AF4" s="1357"/>
      <c r="AG4" s="1357"/>
      <c r="AH4" s="1358"/>
      <c r="AI4" s="1523" t="s">
        <v>202</v>
      </c>
      <c r="AJ4" s="1524"/>
      <c r="AK4" s="1525"/>
      <c r="AL4" s="1529">
        <f>'School Info'!C22</f>
        <v>8.4</v>
      </c>
      <c r="AM4" s="1530"/>
      <c r="AN4" s="611">
        <f>'School Info'!E22</f>
        <v>10.199999999999999</v>
      </c>
      <c r="AO4" s="763"/>
    </row>
    <row r="5" spans="1:42" ht="22.5" customHeight="1" thickBot="1">
      <c r="A5" s="776"/>
      <c r="B5" s="269"/>
      <c r="C5" s="447">
        <f>'School Info'!P12</f>
        <v>53</v>
      </c>
      <c r="D5" s="448">
        <f>'School Info'!P13</f>
        <v>61</v>
      </c>
      <c r="E5" s="448">
        <f>'School Info'!P14</f>
        <v>69</v>
      </c>
      <c r="F5" s="448">
        <f>'School Info'!P15</f>
        <v>77</v>
      </c>
      <c r="G5" s="448">
        <f>'School Info'!P16</f>
        <v>85</v>
      </c>
      <c r="H5" s="472">
        <f>SUM(C5:G5)</f>
        <v>345</v>
      </c>
      <c r="I5" s="463">
        <f>'School Info'!P19</f>
        <v>93</v>
      </c>
      <c r="J5" s="464">
        <f>'School Info'!P20</f>
        <v>101</v>
      </c>
      <c r="K5" s="464">
        <f>'School Info'!P21</f>
        <v>109</v>
      </c>
      <c r="L5" s="465">
        <f>SUM(I5:K5)</f>
        <v>303</v>
      </c>
      <c r="M5" s="466">
        <f>SUM(L5,H5)</f>
        <v>648</v>
      </c>
      <c r="N5" s="1352" t="str">
        <f>CONCATENATE("Month:-","  ",'School Info'!I6,"-",'School Info'!K6)</f>
        <v>Month:-  November-2025</v>
      </c>
      <c r="O5" s="1279"/>
      <c r="P5" s="1279"/>
      <c r="Q5" s="1279"/>
      <c r="R5" s="1279"/>
      <c r="S5" s="1279"/>
      <c r="T5" s="1279"/>
      <c r="U5" s="1279"/>
      <c r="V5" s="1279"/>
      <c r="W5" s="1279"/>
      <c r="X5" s="1279"/>
      <c r="Y5" s="1279"/>
      <c r="Z5" s="1279"/>
      <c r="AA5" s="1279"/>
      <c r="AB5" s="1279"/>
      <c r="AC5" s="1279"/>
      <c r="AD5" s="1279"/>
      <c r="AE5" s="1279"/>
      <c r="AF5" s="1279"/>
      <c r="AG5" s="1279"/>
      <c r="AH5" s="1280"/>
      <c r="AI5" s="1526" t="s">
        <v>203</v>
      </c>
      <c r="AJ5" s="1527"/>
      <c r="AK5" s="1528"/>
      <c r="AL5" s="1531" t="s">
        <v>204</v>
      </c>
      <c r="AM5" s="1528"/>
      <c r="AN5" s="113" t="s">
        <v>205</v>
      </c>
      <c r="AO5" s="763"/>
    </row>
    <row r="6" spans="1:42" ht="16.5" customHeight="1">
      <c r="A6" s="776"/>
      <c r="B6" s="269"/>
      <c r="C6" s="1517" t="s">
        <v>397</v>
      </c>
      <c r="D6" s="1399" t="s">
        <v>123</v>
      </c>
      <c r="E6" s="1399"/>
      <c r="F6" s="1399" t="s">
        <v>51</v>
      </c>
      <c r="G6" s="1399"/>
      <c r="H6" s="1548" t="s">
        <v>206</v>
      </c>
      <c r="I6" s="1549"/>
      <c r="J6" s="1549"/>
      <c r="K6" s="1549"/>
      <c r="L6" s="1549"/>
      <c r="M6" s="1550"/>
      <c r="N6" s="1551" t="s">
        <v>208</v>
      </c>
      <c r="O6" s="1552"/>
      <c r="P6" s="1552"/>
      <c r="Q6" s="1553"/>
      <c r="R6" s="1350" t="s">
        <v>209</v>
      </c>
      <c r="S6" s="1554" t="s">
        <v>464</v>
      </c>
      <c r="T6" s="1555"/>
      <c r="U6" s="1556"/>
      <c r="V6" s="1554" t="s">
        <v>465</v>
      </c>
      <c r="W6" s="1555"/>
      <c r="X6" s="1556"/>
      <c r="Y6" s="1428" t="s">
        <v>213</v>
      </c>
      <c r="Z6" s="450"/>
      <c r="AA6" s="1389" t="s">
        <v>419</v>
      </c>
      <c r="AB6" s="1332" t="s">
        <v>466</v>
      </c>
      <c r="AC6" s="1333"/>
      <c r="AD6" s="1333"/>
      <c r="AE6" s="1333"/>
      <c r="AF6" s="1333"/>
      <c r="AG6" s="1334"/>
      <c r="AH6" s="1332" t="s">
        <v>467</v>
      </c>
      <c r="AI6" s="1333"/>
      <c r="AJ6" s="1333"/>
      <c r="AK6" s="1333"/>
      <c r="AL6" s="1333"/>
      <c r="AM6" s="1334"/>
      <c r="AN6" s="1511" t="s">
        <v>124</v>
      </c>
      <c r="AO6" s="763"/>
    </row>
    <row r="7" spans="1:42" ht="15" customHeight="1">
      <c r="A7" s="776"/>
      <c r="B7" s="269"/>
      <c r="C7" s="1518"/>
      <c r="D7" s="1400"/>
      <c r="E7" s="1400"/>
      <c r="F7" s="1400"/>
      <c r="G7" s="1400"/>
      <c r="H7" s="114" t="s">
        <v>207</v>
      </c>
      <c r="I7" s="114" t="s">
        <v>207</v>
      </c>
      <c r="J7" s="114" t="s">
        <v>207</v>
      </c>
      <c r="K7" s="114" t="s">
        <v>207</v>
      </c>
      <c r="L7" s="114" t="s">
        <v>207</v>
      </c>
      <c r="M7" s="1348" t="s">
        <v>130</v>
      </c>
      <c r="N7" s="114" t="s">
        <v>207</v>
      </c>
      <c r="O7" s="114" t="s">
        <v>207</v>
      </c>
      <c r="P7" s="114" t="s">
        <v>207</v>
      </c>
      <c r="Q7" s="1348" t="s">
        <v>130</v>
      </c>
      <c r="R7" s="1351"/>
      <c r="S7" s="451" t="s">
        <v>128</v>
      </c>
      <c r="T7" s="451" t="s">
        <v>129</v>
      </c>
      <c r="U7" s="1384" t="s">
        <v>458</v>
      </c>
      <c r="V7" s="451" t="s">
        <v>128</v>
      </c>
      <c r="W7" s="451" t="s">
        <v>129</v>
      </c>
      <c r="X7" s="1384" t="s">
        <v>458</v>
      </c>
      <c r="Y7" s="1340"/>
      <c r="Z7" s="449"/>
      <c r="AA7" s="1390"/>
      <c r="AB7" s="1335" t="s">
        <v>215</v>
      </c>
      <c r="AC7" s="1337" t="s">
        <v>216</v>
      </c>
      <c r="AD7" s="1395" t="s">
        <v>221</v>
      </c>
      <c r="AE7" s="1339" t="s">
        <v>130</v>
      </c>
      <c r="AF7" s="1335" t="s">
        <v>468</v>
      </c>
      <c r="AG7" s="1363" t="s">
        <v>217</v>
      </c>
      <c r="AH7" s="1335" t="s">
        <v>215</v>
      </c>
      <c r="AI7" s="1337" t="s">
        <v>216</v>
      </c>
      <c r="AJ7" s="1395" t="s">
        <v>221</v>
      </c>
      <c r="AK7" s="1339" t="s">
        <v>130</v>
      </c>
      <c r="AL7" s="1335" t="s">
        <v>468</v>
      </c>
      <c r="AM7" s="1363" t="s">
        <v>217</v>
      </c>
      <c r="AN7" s="1512"/>
      <c r="AO7" s="763"/>
    </row>
    <row r="8" spans="1:42" ht="16.5" customHeight="1" thickBot="1">
      <c r="A8" s="776"/>
      <c r="B8" s="269"/>
      <c r="C8" s="1519"/>
      <c r="D8" s="1401"/>
      <c r="E8" s="1401"/>
      <c r="F8" s="1401"/>
      <c r="G8" s="1401"/>
      <c r="H8" s="131">
        <v>1</v>
      </c>
      <c r="I8" s="131">
        <v>2</v>
      </c>
      <c r="J8" s="131">
        <v>3</v>
      </c>
      <c r="K8" s="131">
        <v>4</v>
      </c>
      <c r="L8" s="131">
        <v>5</v>
      </c>
      <c r="M8" s="1349"/>
      <c r="N8" s="131">
        <v>6</v>
      </c>
      <c r="O8" s="131">
        <v>7</v>
      </c>
      <c r="P8" s="131">
        <v>8</v>
      </c>
      <c r="Q8" s="1349"/>
      <c r="R8" s="1351"/>
      <c r="S8" s="486" t="str">
        <f>CONCATENATE("(",'School Info'!C21," ","ग्राम","/विद्यार्थी",")")</f>
        <v>(15 ग्राम/विद्यार्थी)</v>
      </c>
      <c r="T8" s="486" t="str">
        <f>CONCATENATE("(",'School Info'!E21," ","ग्राम","/विद्यार्थी",")")</f>
        <v>(20 ग्राम/विद्यार्थी)</v>
      </c>
      <c r="U8" s="1385"/>
      <c r="V8" s="486" t="str">
        <f>CONCATENATE("(",'School Info'!C22," ","ग्राम","/विद्यार्थी",")")</f>
        <v>(8.4 ग्राम/विद्यार्थी)</v>
      </c>
      <c r="W8" s="486" t="str">
        <f>CONCATENATE("(",'School Info'!E22," ","ग्राम","/विद्यार्थी",")")</f>
        <v>(10.2 ग्राम/विद्यार्थी)</v>
      </c>
      <c r="X8" s="1385"/>
      <c r="Y8" s="1340"/>
      <c r="Z8" s="449"/>
      <c r="AA8" s="1390"/>
      <c r="AB8" s="1336"/>
      <c r="AC8" s="1338"/>
      <c r="AD8" s="1396"/>
      <c r="AE8" s="1340"/>
      <c r="AF8" s="1336"/>
      <c r="AG8" s="1364"/>
      <c r="AH8" s="1336"/>
      <c r="AI8" s="1338"/>
      <c r="AJ8" s="1396"/>
      <c r="AK8" s="1340"/>
      <c r="AL8" s="1336"/>
      <c r="AM8" s="1364"/>
      <c r="AN8" s="1513"/>
      <c r="AO8" s="763"/>
    </row>
    <row r="9" spans="1:42" s="37" customFormat="1" ht="22.5" customHeight="1">
      <c r="A9" s="776"/>
      <c r="B9" s="1587">
        <f>'MIlk-Data Entry'!K7</f>
        <v>1</v>
      </c>
      <c r="C9" s="1437">
        <f>'MIlk-Data Entry'!L7</f>
        <v>1</v>
      </c>
      <c r="D9" s="1533">
        <f>'MIlk-Data Entry'!M7</f>
        <v>45962</v>
      </c>
      <c r="E9" s="1534"/>
      <c r="F9" s="1420" t="str">
        <f>CONCATENATE('MIlk-Data Entry'!N7," ","(",'MIlk-Data Entry'!O7,")")</f>
        <v>Saturday (खुला)</v>
      </c>
      <c r="G9" s="1539"/>
      <c r="H9" s="1542">
        <f>'MIlk-Data Entry'!AC7</f>
        <v>10</v>
      </c>
      <c r="I9" s="1544">
        <f>'MIlk-Data Entry'!AD7</f>
        <v>7</v>
      </c>
      <c r="J9" s="1544">
        <f>'MIlk-Data Entry'!AE7</f>
        <v>2</v>
      </c>
      <c r="K9" s="1544">
        <f>'MIlk-Data Entry'!AF7</f>
        <v>3</v>
      </c>
      <c r="L9" s="1544">
        <f>'MIlk-Data Entry'!AG7</f>
        <v>8</v>
      </c>
      <c r="M9" s="1546">
        <f>SUM(H9:L9)</f>
        <v>30</v>
      </c>
      <c r="N9" s="1544">
        <f>'MIlk-Data Entry'!AI7</f>
        <v>5</v>
      </c>
      <c r="O9" s="1544">
        <f>'MIlk-Data Entry'!AJ7</f>
        <v>7</v>
      </c>
      <c r="P9" s="1544">
        <f>'MIlk-Data Entry'!AK7</f>
        <v>0</v>
      </c>
      <c r="Q9" s="1546">
        <f>SUM(N9:P9)</f>
        <v>12</v>
      </c>
      <c r="R9" s="1546">
        <f>M9+Q9</f>
        <v>42</v>
      </c>
      <c r="S9" s="1573">
        <f>M9*'School Info'!$C$21/1000</f>
        <v>0.45</v>
      </c>
      <c r="T9" s="1573">
        <f>Q9*'School Info'!$E$21/1000</f>
        <v>0.24</v>
      </c>
      <c r="U9" s="1575">
        <f>SUM(S9:T9)</f>
        <v>0.69</v>
      </c>
      <c r="V9" s="1573">
        <f>M9*'School Info'!$C$22/1000</f>
        <v>0.252</v>
      </c>
      <c r="W9" s="1573">
        <f>Q9*'School Info'!$E$22/1000</f>
        <v>0.12239999999999999</v>
      </c>
      <c r="X9" s="1575">
        <f>SUM(V9:W9)</f>
        <v>0.37440000000000001</v>
      </c>
      <c r="Y9" s="1397"/>
      <c r="Z9" s="492">
        <f>B9</f>
        <v>1</v>
      </c>
      <c r="AA9" s="380" t="s">
        <v>118</v>
      </c>
      <c r="AB9" s="582">
        <f>'MIlk-Data Entry'!D10+'MIlk-Data Entry'!E10+'MIlk-Data Entry'!H10-'MIlk-Data Entry'!J10</f>
        <v>50</v>
      </c>
      <c r="AC9" s="583">
        <f>'MIlk-Data Entry'!AM7</f>
        <v>0</v>
      </c>
      <c r="AD9" s="583">
        <f>'MIlk-Data Entry'!AQ7</f>
        <v>0</v>
      </c>
      <c r="AE9" s="584">
        <f t="shared" ref="AE9:AE76" si="0">SUM(AB9:AD9)</f>
        <v>50</v>
      </c>
      <c r="AF9" s="583">
        <f>S9</f>
        <v>0.45</v>
      </c>
      <c r="AG9" s="585">
        <f t="shared" ref="AG9:AG76" si="1">SUM(AE9-AF9)</f>
        <v>49.55</v>
      </c>
      <c r="AH9" s="582">
        <f>'MIlk-Data Entry'!D12+'MIlk-Data Entry'!E12+'MIlk-Data Entry'!H12-'MIlk-Data Entry'!J12</f>
        <v>30</v>
      </c>
      <c r="AI9" s="583">
        <f>'MIlk-Data Entry'!AO7</f>
        <v>0</v>
      </c>
      <c r="AJ9" s="583">
        <f>'MIlk-Data Entry'!AS7</f>
        <v>0</v>
      </c>
      <c r="AK9" s="584">
        <f t="shared" ref="AK9:AK76" si="2">SUM(AH9:AJ9)</f>
        <v>30</v>
      </c>
      <c r="AL9" s="583">
        <f>V9</f>
        <v>0.252</v>
      </c>
      <c r="AM9" s="585">
        <f t="shared" ref="AM9:AM76" si="3">SUM(AK9-AL9)</f>
        <v>29.748000000000001</v>
      </c>
      <c r="AN9" s="1567"/>
      <c r="AO9" s="763"/>
      <c r="AP9" s="36">
        <f>P9+Q9+AH9+AI9</f>
        <v>42</v>
      </c>
    </row>
    <row r="10" spans="1:42" s="37" customFormat="1" ht="22.5" customHeight="1" thickBot="1">
      <c r="A10" s="776"/>
      <c r="B10" s="1587"/>
      <c r="C10" s="1438"/>
      <c r="D10" s="1535"/>
      <c r="E10" s="1536"/>
      <c r="F10" s="1540"/>
      <c r="G10" s="1541"/>
      <c r="H10" s="1543"/>
      <c r="I10" s="1545"/>
      <c r="J10" s="1545"/>
      <c r="K10" s="1545"/>
      <c r="L10" s="1545"/>
      <c r="M10" s="1547"/>
      <c r="N10" s="1545"/>
      <c r="O10" s="1545"/>
      <c r="P10" s="1545"/>
      <c r="Q10" s="1547"/>
      <c r="R10" s="1547"/>
      <c r="S10" s="1574"/>
      <c r="T10" s="1574"/>
      <c r="U10" s="1576"/>
      <c r="V10" s="1574"/>
      <c r="W10" s="1574"/>
      <c r="X10" s="1576"/>
      <c r="Y10" s="1398"/>
      <c r="Z10" s="493">
        <f>B9</f>
        <v>1</v>
      </c>
      <c r="AA10" s="379" t="s">
        <v>119</v>
      </c>
      <c r="AB10" s="586">
        <f>'MIlk-Data Entry'!D11+'MIlk-Data Entry'!E11+'MIlk-Data Entry'!H11-'MIlk-Data Entry'!J11</f>
        <v>70</v>
      </c>
      <c r="AC10" s="587">
        <f>'MIlk-Data Entry'!AN7</f>
        <v>0</v>
      </c>
      <c r="AD10" s="587">
        <f>'MIlk-Data Entry'!AR7</f>
        <v>0</v>
      </c>
      <c r="AE10" s="588">
        <f t="shared" ref="AE10:AE11" si="4">SUM(AB10:AD10)</f>
        <v>70</v>
      </c>
      <c r="AF10" s="587">
        <f>T9</f>
        <v>0.24</v>
      </c>
      <c r="AG10" s="589">
        <f t="shared" ref="AG10:AG11" si="5">SUM(AE10-AF10)</f>
        <v>69.760000000000005</v>
      </c>
      <c r="AH10" s="586">
        <f>'MIlk-Data Entry'!D13+'MIlk-Data Entry'!E13+'MIlk-Data Entry'!H13-'MIlk-Data Entry'!J13</f>
        <v>40</v>
      </c>
      <c r="AI10" s="587">
        <f>'MIlk-Data Entry'!AP7</f>
        <v>0</v>
      </c>
      <c r="AJ10" s="587">
        <f>'MIlk-Data Entry'!AT7</f>
        <v>0</v>
      </c>
      <c r="AK10" s="588">
        <f t="shared" ref="AK10:AK11" si="6">SUM(AH10:AJ10)</f>
        <v>40</v>
      </c>
      <c r="AL10" s="587">
        <f>W9</f>
        <v>0.12239999999999999</v>
      </c>
      <c r="AM10" s="589">
        <f t="shared" ref="AM10:AM11" si="7">SUM(AK10-AL10)</f>
        <v>39.877600000000001</v>
      </c>
      <c r="AN10" s="1568"/>
      <c r="AO10" s="763"/>
      <c r="AP10" s="36"/>
    </row>
    <row r="11" spans="1:42" s="37" customFormat="1" ht="22.5" customHeight="1">
      <c r="A11" s="776"/>
      <c r="B11" s="1587">
        <f>'MIlk-Data Entry'!K8</f>
        <v>0</v>
      </c>
      <c r="C11" s="1424">
        <f>'MIlk-Data Entry'!L8</f>
        <v>2</v>
      </c>
      <c r="D11" s="1425">
        <f>'MIlk-Data Entry'!M8</f>
        <v>45963</v>
      </c>
      <c r="E11" s="1426"/>
      <c r="F11" s="1537" t="str">
        <f>CONCATENATE('MIlk-Data Entry'!N8," ","(",'MIlk-Data Entry'!O8,")")</f>
        <v>Sunday (रवि॰अव॰)</v>
      </c>
      <c r="G11" s="1538"/>
      <c r="H11" s="1439">
        <f>'MIlk-Data Entry'!AC8</f>
        <v>0</v>
      </c>
      <c r="I11" s="1383">
        <f>'MIlk-Data Entry'!AD8</f>
        <v>0</v>
      </c>
      <c r="J11" s="1383">
        <f>'MIlk-Data Entry'!AE8</f>
        <v>0</v>
      </c>
      <c r="K11" s="1383">
        <f>'MIlk-Data Entry'!AF8</f>
        <v>0</v>
      </c>
      <c r="L11" s="1383">
        <f>'MIlk-Data Entry'!AG8</f>
        <v>0</v>
      </c>
      <c r="M11" s="1382">
        <f>SUM(H11:L11)</f>
        <v>0</v>
      </c>
      <c r="N11" s="1383">
        <f>'MIlk-Data Entry'!AI8</f>
        <v>0</v>
      </c>
      <c r="O11" s="1383">
        <f>'MIlk-Data Entry'!AJ8</f>
        <v>0</v>
      </c>
      <c r="P11" s="1383">
        <f>'MIlk-Data Entry'!AK8</f>
        <v>0</v>
      </c>
      <c r="Q11" s="1382">
        <f>SUM(N11:P11)</f>
        <v>0</v>
      </c>
      <c r="R11" s="1382">
        <f>M11+Q11</f>
        <v>0</v>
      </c>
      <c r="S11" s="1579">
        <f>M11*'School Info'!$C$21/1000</f>
        <v>0</v>
      </c>
      <c r="T11" s="1579">
        <f>Q11*'School Info'!$E$21/1000</f>
        <v>0</v>
      </c>
      <c r="U11" s="1581">
        <f t="shared" ref="U11" si="8">SUM(S11:T11)</f>
        <v>0</v>
      </c>
      <c r="V11" s="1579">
        <f>M11*'School Info'!$C$22/1000</f>
        <v>0</v>
      </c>
      <c r="W11" s="1579">
        <f>Q11*'School Info'!$E$22/1000</f>
        <v>0</v>
      </c>
      <c r="X11" s="1581">
        <f t="shared" ref="X11" si="9">SUM(V11:W11)</f>
        <v>0</v>
      </c>
      <c r="Y11" s="1532"/>
      <c r="Z11" s="492">
        <f t="shared" ref="Z11:Z69" si="10">B11</f>
        <v>0</v>
      </c>
      <c r="AA11" s="477" t="s">
        <v>118</v>
      </c>
      <c r="AB11" s="590">
        <f>AG9</f>
        <v>49.55</v>
      </c>
      <c r="AC11" s="591">
        <f>'MIlk-Data Entry'!AM8</f>
        <v>0</v>
      </c>
      <c r="AD11" s="591">
        <f>'MIlk-Data Entry'!AQ8</f>
        <v>0</v>
      </c>
      <c r="AE11" s="592">
        <f t="shared" si="4"/>
        <v>49.55</v>
      </c>
      <c r="AF11" s="591">
        <f t="shared" ref="AF11" si="11">S11</f>
        <v>0</v>
      </c>
      <c r="AG11" s="593">
        <f t="shared" si="5"/>
        <v>49.55</v>
      </c>
      <c r="AH11" s="590">
        <f>AM9</f>
        <v>29.748000000000001</v>
      </c>
      <c r="AI11" s="591">
        <f>'MIlk-Data Entry'!AO8</f>
        <v>0</v>
      </c>
      <c r="AJ11" s="591">
        <f>'MIlk-Data Entry'!AS8</f>
        <v>0</v>
      </c>
      <c r="AK11" s="592">
        <f t="shared" si="6"/>
        <v>29.748000000000001</v>
      </c>
      <c r="AL11" s="591">
        <f t="shared" ref="AL11" si="12">V11</f>
        <v>0</v>
      </c>
      <c r="AM11" s="593">
        <f t="shared" si="7"/>
        <v>29.748000000000001</v>
      </c>
      <c r="AN11" s="1569"/>
      <c r="AO11" s="763"/>
      <c r="AP11" s="36">
        <f>P11+Q11+AH11+AI11</f>
        <v>29.748000000000001</v>
      </c>
    </row>
    <row r="12" spans="1:42" s="37" customFormat="1" ht="22.5" customHeight="1" thickBot="1">
      <c r="A12" s="776"/>
      <c r="B12" s="1587"/>
      <c r="C12" s="1424"/>
      <c r="D12" s="1425"/>
      <c r="E12" s="1426"/>
      <c r="F12" s="1537"/>
      <c r="G12" s="1538"/>
      <c r="H12" s="1439"/>
      <c r="I12" s="1383"/>
      <c r="J12" s="1383"/>
      <c r="K12" s="1383"/>
      <c r="L12" s="1383"/>
      <c r="M12" s="1382"/>
      <c r="N12" s="1383"/>
      <c r="O12" s="1383"/>
      <c r="P12" s="1383"/>
      <c r="Q12" s="1382"/>
      <c r="R12" s="1382"/>
      <c r="S12" s="1580"/>
      <c r="T12" s="1580"/>
      <c r="U12" s="1582"/>
      <c r="V12" s="1580"/>
      <c r="W12" s="1580"/>
      <c r="X12" s="1582"/>
      <c r="Y12" s="1532"/>
      <c r="Z12" s="493">
        <f t="shared" ref="Z12:Z70" si="13">B11</f>
        <v>0</v>
      </c>
      <c r="AA12" s="478" t="s">
        <v>119</v>
      </c>
      <c r="AB12" s="594">
        <f>AG10</f>
        <v>69.760000000000005</v>
      </c>
      <c r="AC12" s="595">
        <f>'MIlk-Data Entry'!AN8</f>
        <v>0</v>
      </c>
      <c r="AD12" s="595">
        <f>'MIlk-Data Entry'!AR8</f>
        <v>0</v>
      </c>
      <c r="AE12" s="596">
        <f t="shared" ref="AE12:AE64" si="14">SUM(AB12:AD12)</f>
        <v>69.760000000000005</v>
      </c>
      <c r="AF12" s="595">
        <f t="shared" ref="AF12" si="15">T11</f>
        <v>0</v>
      </c>
      <c r="AG12" s="597">
        <f t="shared" ref="AG12:AG64" si="16">SUM(AE12-AF12)</f>
        <v>69.760000000000005</v>
      </c>
      <c r="AH12" s="594">
        <f>AM10</f>
        <v>39.877600000000001</v>
      </c>
      <c r="AI12" s="595">
        <f>'MIlk-Data Entry'!AP8</f>
        <v>0</v>
      </c>
      <c r="AJ12" s="595">
        <f>'MIlk-Data Entry'!AT8</f>
        <v>0</v>
      </c>
      <c r="AK12" s="596">
        <f t="shared" ref="AK12:AK64" si="17">SUM(AH12:AJ12)</f>
        <v>39.877600000000001</v>
      </c>
      <c r="AL12" s="595">
        <f t="shared" ref="AL12" si="18">W11</f>
        <v>0</v>
      </c>
      <c r="AM12" s="597">
        <f t="shared" ref="AM12:AM64" si="19">SUM(AK12-AL12)</f>
        <v>39.877600000000001</v>
      </c>
      <c r="AN12" s="1569"/>
      <c r="AO12" s="763"/>
      <c r="AP12" s="36"/>
    </row>
    <row r="13" spans="1:42" s="37" customFormat="1" ht="22.5" customHeight="1">
      <c r="A13" s="776"/>
      <c r="B13" s="1587">
        <f>'MIlk-Data Entry'!K9</f>
        <v>0</v>
      </c>
      <c r="C13" s="1437">
        <f>'MIlk-Data Entry'!L9</f>
        <v>3</v>
      </c>
      <c r="D13" s="1533">
        <f>'MIlk-Data Entry'!M9</f>
        <v>45964</v>
      </c>
      <c r="E13" s="1534"/>
      <c r="F13" s="1420" t="str">
        <f>CONCATENATE('MIlk-Data Entry'!N9," ","(",'MIlk-Data Entry'!O9,")")</f>
        <v>Monday (खुला)</v>
      </c>
      <c r="G13" s="1421"/>
      <c r="H13" s="1542">
        <f>'MIlk-Data Entry'!AC9</f>
        <v>0</v>
      </c>
      <c r="I13" s="1544">
        <f>'MIlk-Data Entry'!AD9</f>
        <v>0</v>
      </c>
      <c r="J13" s="1544">
        <f>'MIlk-Data Entry'!AE9</f>
        <v>0</v>
      </c>
      <c r="K13" s="1544">
        <f>'MIlk-Data Entry'!AF9</f>
        <v>0</v>
      </c>
      <c r="L13" s="1544">
        <f>'MIlk-Data Entry'!AG9</f>
        <v>0</v>
      </c>
      <c r="M13" s="1546">
        <f t="shared" ref="M13" si="20">SUM(H13:L13)</f>
        <v>0</v>
      </c>
      <c r="N13" s="1544">
        <f>'MIlk-Data Entry'!AI9</f>
        <v>0</v>
      </c>
      <c r="O13" s="1544">
        <f>'MIlk-Data Entry'!AJ9</f>
        <v>0</v>
      </c>
      <c r="P13" s="1544">
        <f>'MIlk-Data Entry'!AK9</f>
        <v>0</v>
      </c>
      <c r="Q13" s="1546">
        <f t="shared" ref="Q13" si="21">SUM(N13:P13)</f>
        <v>0</v>
      </c>
      <c r="R13" s="1546">
        <f t="shared" ref="R13" si="22">M13+Q13</f>
        <v>0</v>
      </c>
      <c r="S13" s="1573">
        <f>M13*'School Info'!$C$21/1000</f>
        <v>0</v>
      </c>
      <c r="T13" s="1573">
        <f>Q13*'School Info'!$E$21/1000</f>
        <v>0</v>
      </c>
      <c r="U13" s="1575">
        <f t="shared" ref="U13" si="23">SUM(S13:T13)</f>
        <v>0</v>
      </c>
      <c r="V13" s="1573">
        <f>M13*'School Info'!$C$22/1000</f>
        <v>0</v>
      </c>
      <c r="W13" s="1573">
        <f>Q13*'School Info'!$E$22/1000</f>
        <v>0</v>
      </c>
      <c r="X13" s="1575">
        <f t="shared" ref="X13" si="24">SUM(V13:W13)</f>
        <v>0</v>
      </c>
      <c r="Y13" s="1397"/>
      <c r="Z13" s="492">
        <f t="shared" si="10"/>
        <v>0</v>
      </c>
      <c r="AA13" s="380" t="s">
        <v>118</v>
      </c>
      <c r="AB13" s="582">
        <f t="shared" ref="AB13:AB64" si="25">AG11</f>
        <v>49.55</v>
      </c>
      <c r="AC13" s="583">
        <f>'MIlk-Data Entry'!AM9</f>
        <v>0</v>
      </c>
      <c r="AD13" s="583">
        <f>'MIlk-Data Entry'!AQ9</f>
        <v>0</v>
      </c>
      <c r="AE13" s="584">
        <f t="shared" si="14"/>
        <v>49.55</v>
      </c>
      <c r="AF13" s="583">
        <f t="shared" ref="AF13" si="26">S13</f>
        <v>0</v>
      </c>
      <c r="AG13" s="585">
        <f t="shared" si="16"/>
        <v>49.55</v>
      </c>
      <c r="AH13" s="582">
        <f t="shared" ref="AH13:AH64" si="27">AM11</f>
        <v>29.748000000000001</v>
      </c>
      <c r="AI13" s="583">
        <f>'MIlk-Data Entry'!AO9</f>
        <v>0</v>
      </c>
      <c r="AJ13" s="583">
        <f>'MIlk-Data Entry'!AS9</f>
        <v>0</v>
      </c>
      <c r="AK13" s="584">
        <f t="shared" si="17"/>
        <v>29.748000000000001</v>
      </c>
      <c r="AL13" s="583">
        <f t="shared" ref="AL13" si="28">V13</f>
        <v>0</v>
      </c>
      <c r="AM13" s="585">
        <f t="shared" si="19"/>
        <v>29.748000000000001</v>
      </c>
      <c r="AN13" s="1567"/>
      <c r="AO13" s="763"/>
      <c r="AP13" s="36">
        <f>P13+Q13+AH13+AI13</f>
        <v>29.748000000000001</v>
      </c>
    </row>
    <row r="14" spans="1:42" s="37" customFormat="1" ht="22.5" customHeight="1" thickBot="1">
      <c r="A14" s="776"/>
      <c r="B14" s="1587"/>
      <c r="C14" s="1438"/>
      <c r="D14" s="1535"/>
      <c r="E14" s="1536"/>
      <c r="F14" s="1422"/>
      <c r="G14" s="1423"/>
      <c r="H14" s="1543"/>
      <c r="I14" s="1545"/>
      <c r="J14" s="1545"/>
      <c r="K14" s="1545"/>
      <c r="L14" s="1545"/>
      <c r="M14" s="1547"/>
      <c r="N14" s="1545"/>
      <c r="O14" s="1545"/>
      <c r="P14" s="1545"/>
      <c r="Q14" s="1547"/>
      <c r="R14" s="1547"/>
      <c r="S14" s="1574"/>
      <c r="T14" s="1574"/>
      <c r="U14" s="1576"/>
      <c r="V14" s="1574"/>
      <c r="W14" s="1574"/>
      <c r="X14" s="1576"/>
      <c r="Y14" s="1398"/>
      <c r="Z14" s="493">
        <f t="shared" si="13"/>
        <v>0</v>
      </c>
      <c r="AA14" s="473" t="s">
        <v>119</v>
      </c>
      <c r="AB14" s="586">
        <f t="shared" si="25"/>
        <v>69.760000000000005</v>
      </c>
      <c r="AC14" s="587">
        <f>'MIlk-Data Entry'!AN9</f>
        <v>0</v>
      </c>
      <c r="AD14" s="587">
        <f>'MIlk-Data Entry'!AR9</f>
        <v>0</v>
      </c>
      <c r="AE14" s="588">
        <f t="shared" si="14"/>
        <v>69.760000000000005</v>
      </c>
      <c r="AF14" s="587">
        <f t="shared" ref="AF14" si="29">T13</f>
        <v>0</v>
      </c>
      <c r="AG14" s="589">
        <f t="shared" si="16"/>
        <v>69.760000000000005</v>
      </c>
      <c r="AH14" s="586">
        <f t="shared" si="27"/>
        <v>39.877600000000001</v>
      </c>
      <c r="AI14" s="587">
        <f>'MIlk-Data Entry'!AP9</f>
        <v>0</v>
      </c>
      <c r="AJ14" s="587">
        <f>'MIlk-Data Entry'!AT9</f>
        <v>0</v>
      </c>
      <c r="AK14" s="588">
        <f t="shared" si="17"/>
        <v>39.877600000000001</v>
      </c>
      <c r="AL14" s="587">
        <f t="shared" ref="AL14" si="30">W13</f>
        <v>0</v>
      </c>
      <c r="AM14" s="589">
        <f t="shared" si="19"/>
        <v>39.877600000000001</v>
      </c>
      <c r="AN14" s="1568"/>
      <c r="AO14" s="763"/>
      <c r="AP14" s="36"/>
    </row>
    <row r="15" spans="1:42" s="37" customFormat="1" ht="22.5" customHeight="1">
      <c r="A15" s="776"/>
      <c r="B15" s="1587">
        <f>'MIlk-Data Entry'!K10</f>
        <v>0</v>
      </c>
      <c r="C15" s="1424">
        <f>'MIlk-Data Entry'!L10</f>
        <v>4</v>
      </c>
      <c r="D15" s="1425">
        <f>'MIlk-Data Entry'!M10</f>
        <v>45965</v>
      </c>
      <c r="E15" s="1426"/>
      <c r="F15" s="1537" t="str">
        <f>CONCATENATE('MIlk-Data Entry'!N10," ","(",'MIlk-Data Entry'!O10,")")</f>
        <v>Tuesday (खुला)</v>
      </c>
      <c r="G15" s="1538"/>
      <c r="H15" s="1439">
        <f>'MIlk-Data Entry'!AC10</f>
        <v>0</v>
      </c>
      <c r="I15" s="1383">
        <f>'MIlk-Data Entry'!AD10</f>
        <v>0</v>
      </c>
      <c r="J15" s="1383">
        <f>'MIlk-Data Entry'!AE10</f>
        <v>0</v>
      </c>
      <c r="K15" s="1383">
        <f>'MIlk-Data Entry'!AF10</f>
        <v>0</v>
      </c>
      <c r="L15" s="1383">
        <f>'MIlk-Data Entry'!AG10</f>
        <v>0</v>
      </c>
      <c r="M15" s="1382">
        <f t="shared" ref="M15" si="31">SUM(H15:L15)</f>
        <v>0</v>
      </c>
      <c r="N15" s="1383">
        <f>'MIlk-Data Entry'!AI10</f>
        <v>0</v>
      </c>
      <c r="O15" s="1383">
        <f>'MIlk-Data Entry'!AJ10</f>
        <v>0</v>
      </c>
      <c r="P15" s="1383">
        <f>'MIlk-Data Entry'!AK10</f>
        <v>0</v>
      </c>
      <c r="Q15" s="1382">
        <f t="shared" ref="Q15" si="32">SUM(N15:P15)</f>
        <v>0</v>
      </c>
      <c r="R15" s="1382">
        <f t="shared" ref="R15" si="33">M15+Q15</f>
        <v>0</v>
      </c>
      <c r="S15" s="1579">
        <f>M15*'School Info'!$C$21/1000</f>
        <v>0</v>
      </c>
      <c r="T15" s="1579">
        <f>Q15*'School Info'!$E$21/1000</f>
        <v>0</v>
      </c>
      <c r="U15" s="1581">
        <f t="shared" ref="U15" si="34">SUM(S15:T15)</f>
        <v>0</v>
      </c>
      <c r="V15" s="1579">
        <f>M15*'School Info'!$C$22/1000</f>
        <v>0</v>
      </c>
      <c r="W15" s="1579">
        <f>Q15*'School Info'!$E$22/1000</f>
        <v>0</v>
      </c>
      <c r="X15" s="1581">
        <f t="shared" ref="X15" si="35">SUM(V15:W15)</f>
        <v>0</v>
      </c>
      <c r="Y15" s="1532"/>
      <c r="Z15" s="492">
        <f t="shared" si="10"/>
        <v>0</v>
      </c>
      <c r="AA15" s="477" t="s">
        <v>118</v>
      </c>
      <c r="AB15" s="590">
        <f t="shared" si="25"/>
        <v>49.55</v>
      </c>
      <c r="AC15" s="591">
        <f>'MIlk-Data Entry'!AM10</f>
        <v>0</v>
      </c>
      <c r="AD15" s="591">
        <f>'MIlk-Data Entry'!AQ10</f>
        <v>0</v>
      </c>
      <c r="AE15" s="592">
        <f t="shared" si="14"/>
        <v>49.55</v>
      </c>
      <c r="AF15" s="591">
        <f t="shared" ref="AF15" si="36">S15</f>
        <v>0</v>
      </c>
      <c r="AG15" s="593">
        <f t="shared" si="16"/>
        <v>49.55</v>
      </c>
      <c r="AH15" s="590">
        <f t="shared" si="27"/>
        <v>29.748000000000001</v>
      </c>
      <c r="AI15" s="591">
        <f>'MIlk-Data Entry'!AO10</f>
        <v>0</v>
      </c>
      <c r="AJ15" s="591">
        <f>'MIlk-Data Entry'!AS10</f>
        <v>0</v>
      </c>
      <c r="AK15" s="592">
        <f t="shared" si="17"/>
        <v>29.748000000000001</v>
      </c>
      <c r="AL15" s="591">
        <f t="shared" ref="AL15" si="37">V15</f>
        <v>0</v>
      </c>
      <c r="AM15" s="593">
        <f t="shared" si="19"/>
        <v>29.748000000000001</v>
      </c>
      <c r="AN15" s="1569"/>
      <c r="AO15" s="763"/>
      <c r="AP15" s="36">
        <f>P15+Q15+AH15+AI15</f>
        <v>29.748000000000001</v>
      </c>
    </row>
    <row r="16" spans="1:42" s="37" customFormat="1" ht="22.5" customHeight="1" thickBot="1">
      <c r="A16" s="776"/>
      <c r="B16" s="1587"/>
      <c r="C16" s="1424"/>
      <c r="D16" s="1425"/>
      <c r="E16" s="1426"/>
      <c r="F16" s="1537"/>
      <c r="G16" s="1538"/>
      <c r="H16" s="1439"/>
      <c r="I16" s="1383"/>
      <c r="J16" s="1383"/>
      <c r="K16" s="1383"/>
      <c r="L16" s="1383"/>
      <c r="M16" s="1382"/>
      <c r="N16" s="1383"/>
      <c r="O16" s="1383"/>
      <c r="P16" s="1383"/>
      <c r="Q16" s="1382"/>
      <c r="R16" s="1382"/>
      <c r="S16" s="1580"/>
      <c r="T16" s="1580"/>
      <c r="U16" s="1582"/>
      <c r="V16" s="1580"/>
      <c r="W16" s="1580"/>
      <c r="X16" s="1582"/>
      <c r="Y16" s="1532"/>
      <c r="Z16" s="493">
        <f t="shared" si="13"/>
        <v>0</v>
      </c>
      <c r="AA16" s="478" t="s">
        <v>119</v>
      </c>
      <c r="AB16" s="594">
        <f t="shared" si="25"/>
        <v>69.760000000000005</v>
      </c>
      <c r="AC16" s="595">
        <f>'MIlk-Data Entry'!AN10</f>
        <v>0</v>
      </c>
      <c r="AD16" s="595">
        <f>'MIlk-Data Entry'!AR10</f>
        <v>0</v>
      </c>
      <c r="AE16" s="596">
        <f t="shared" si="14"/>
        <v>69.760000000000005</v>
      </c>
      <c r="AF16" s="595">
        <f t="shared" ref="AF16" si="38">T15</f>
        <v>0</v>
      </c>
      <c r="AG16" s="597">
        <f t="shared" si="16"/>
        <v>69.760000000000005</v>
      </c>
      <c r="AH16" s="594">
        <f t="shared" si="27"/>
        <v>39.877600000000001</v>
      </c>
      <c r="AI16" s="595">
        <f>'MIlk-Data Entry'!AP10</f>
        <v>0</v>
      </c>
      <c r="AJ16" s="595">
        <f>'MIlk-Data Entry'!AT10</f>
        <v>0</v>
      </c>
      <c r="AK16" s="596">
        <f t="shared" si="17"/>
        <v>39.877600000000001</v>
      </c>
      <c r="AL16" s="595">
        <f t="shared" ref="AL16" si="39">W15</f>
        <v>0</v>
      </c>
      <c r="AM16" s="597">
        <f t="shared" si="19"/>
        <v>39.877600000000001</v>
      </c>
      <c r="AN16" s="1569"/>
      <c r="AO16" s="763"/>
      <c r="AP16" s="36"/>
    </row>
    <row r="17" spans="1:42" s="37" customFormat="1" ht="22.5" customHeight="1">
      <c r="A17" s="776"/>
      <c r="B17" s="1587">
        <f>'MIlk-Data Entry'!K11</f>
        <v>0</v>
      </c>
      <c r="C17" s="1437">
        <f>'MIlk-Data Entry'!L11</f>
        <v>5</v>
      </c>
      <c r="D17" s="1533">
        <f>'MIlk-Data Entry'!M11</f>
        <v>45966</v>
      </c>
      <c r="E17" s="1534"/>
      <c r="F17" s="1420" t="str">
        <f>CONCATENATE('MIlk-Data Entry'!N11," ","(",'MIlk-Data Entry'!O11,")")</f>
        <v>Wednesday (खुला)</v>
      </c>
      <c r="G17" s="1421"/>
      <c r="H17" s="1542">
        <f>'MIlk-Data Entry'!AC11</f>
        <v>0</v>
      </c>
      <c r="I17" s="1544">
        <f>'MIlk-Data Entry'!AD11</f>
        <v>0</v>
      </c>
      <c r="J17" s="1544">
        <f>'MIlk-Data Entry'!AE11</f>
        <v>0</v>
      </c>
      <c r="K17" s="1544">
        <f>'MIlk-Data Entry'!AF11</f>
        <v>0</v>
      </c>
      <c r="L17" s="1544">
        <f>'MIlk-Data Entry'!AG11</f>
        <v>0</v>
      </c>
      <c r="M17" s="1546">
        <f t="shared" ref="M17" si="40">SUM(H17:L17)</f>
        <v>0</v>
      </c>
      <c r="N17" s="1544">
        <f>'MIlk-Data Entry'!AI11</f>
        <v>0</v>
      </c>
      <c r="O17" s="1544">
        <f>'MIlk-Data Entry'!AJ11</f>
        <v>0</v>
      </c>
      <c r="P17" s="1544">
        <f>'MIlk-Data Entry'!AK11</f>
        <v>0</v>
      </c>
      <c r="Q17" s="1546">
        <f t="shared" ref="Q17" si="41">SUM(N17:P17)</f>
        <v>0</v>
      </c>
      <c r="R17" s="1546">
        <f t="shared" ref="R17" si="42">M17+Q17</f>
        <v>0</v>
      </c>
      <c r="S17" s="1573">
        <f>M17*'School Info'!$C$21/1000</f>
        <v>0</v>
      </c>
      <c r="T17" s="1573">
        <f>Q17*'School Info'!$E$21/1000</f>
        <v>0</v>
      </c>
      <c r="U17" s="1575">
        <f t="shared" ref="U17" si="43">SUM(S17:T17)</f>
        <v>0</v>
      </c>
      <c r="V17" s="1573">
        <f>M17*'School Info'!$C$22/1000</f>
        <v>0</v>
      </c>
      <c r="W17" s="1573">
        <f>Q17*'School Info'!$E$22/1000</f>
        <v>0</v>
      </c>
      <c r="X17" s="1575">
        <f t="shared" ref="X17" si="44">SUM(V17:W17)</f>
        <v>0</v>
      </c>
      <c r="Y17" s="1397"/>
      <c r="Z17" s="492">
        <f t="shared" si="10"/>
        <v>0</v>
      </c>
      <c r="AA17" s="380" t="s">
        <v>118</v>
      </c>
      <c r="AB17" s="582">
        <f t="shared" si="25"/>
        <v>49.55</v>
      </c>
      <c r="AC17" s="583">
        <f>'MIlk-Data Entry'!AM11</f>
        <v>0</v>
      </c>
      <c r="AD17" s="583">
        <f>'MIlk-Data Entry'!AQ11</f>
        <v>0</v>
      </c>
      <c r="AE17" s="584">
        <f t="shared" si="14"/>
        <v>49.55</v>
      </c>
      <c r="AF17" s="583">
        <f t="shared" ref="AF17" si="45">S17</f>
        <v>0</v>
      </c>
      <c r="AG17" s="585">
        <f t="shared" si="16"/>
        <v>49.55</v>
      </c>
      <c r="AH17" s="582">
        <f t="shared" si="27"/>
        <v>29.748000000000001</v>
      </c>
      <c r="AI17" s="583">
        <f>'MIlk-Data Entry'!AO11</f>
        <v>0</v>
      </c>
      <c r="AJ17" s="583">
        <f>'MIlk-Data Entry'!AS11</f>
        <v>0</v>
      </c>
      <c r="AK17" s="584">
        <f t="shared" si="17"/>
        <v>29.748000000000001</v>
      </c>
      <c r="AL17" s="583">
        <f t="shared" ref="AL17" si="46">V17</f>
        <v>0</v>
      </c>
      <c r="AM17" s="585">
        <f t="shared" si="19"/>
        <v>29.748000000000001</v>
      </c>
      <c r="AN17" s="1567"/>
      <c r="AO17" s="763"/>
      <c r="AP17" s="36">
        <f>P17+Q17+AH17+AI17</f>
        <v>29.748000000000001</v>
      </c>
    </row>
    <row r="18" spans="1:42" s="37" customFormat="1" ht="22.5" customHeight="1" thickBot="1">
      <c r="A18" s="776"/>
      <c r="B18" s="1587"/>
      <c r="C18" s="1438"/>
      <c r="D18" s="1535"/>
      <c r="E18" s="1536"/>
      <c r="F18" s="1422"/>
      <c r="G18" s="1423"/>
      <c r="H18" s="1543"/>
      <c r="I18" s="1545"/>
      <c r="J18" s="1545"/>
      <c r="K18" s="1545"/>
      <c r="L18" s="1545"/>
      <c r="M18" s="1547"/>
      <c r="N18" s="1545"/>
      <c r="O18" s="1545"/>
      <c r="P18" s="1545"/>
      <c r="Q18" s="1547"/>
      <c r="R18" s="1547"/>
      <c r="S18" s="1574"/>
      <c r="T18" s="1574"/>
      <c r="U18" s="1576"/>
      <c r="V18" s="1574"/>
      <c r="W18" s="1574"/>
      <c r="X18" s="1576"/>
      <c r="Y18" s="1398"/>
      <c r="Z18" s="493">
        <f t="shared" si="13"/>
        <v>0</v>
      </c>
      <c r="AA18" s="473" t="s">
        <v>119</v>
      </c>
      <c r="AB18" s="586">
        <f t="shared" si="25"/>
        <v>69.760000000000005</v>
      </c>
      <c r="AC18" s="587">
        <f>'MIlk-Data Entry'!AN11</f>
        <v>0</v>
      </c>
      <c r="AD18" s="587">
        <f>'MIlk-Data Entry'!AR11</f>
        <v>0</v>
      </c>
      <c r="AE18" s="588">
        <f t="shared" si="14"/>
        <v>69.760000000000005</v>
      </c>
      <c r="AF18" s="587">
        <f t="shared" ref="AF18" si="47">T17</f>
        <v>0</v>
      </c>
      <c r="AG18" s="589">
        <f t="shared" si="16"/>
        <v>69.760000000000005</v>
      </c>
      <c r="AH18" s="586">
        <f t="shared" si="27"/>
        <v>39.877600000000001</v>
      </c>
      <c r="AI18" s="587">
        <f>'MIlk-Data Entry'!AP11</f>
        <v>0</v>
      </c>
      <c r="AJ18" s="587">
        <f>'MIlk-Data Entry'!AT11</f>
        <v>0</v>
      </c>
      <c r="AK18" s="588">
        <f t="shared" si="17"/>
        <v>39.877600000000001</v>
      </c>
      <c r="AL18" s="587">
        <f t="shared" ref="AL18" si="48">W17</f>
        <v>0</v>
      </c>
      <c r="AM18" s="589">
        <f t="shared" si="19"/>
        <v>39.877600000000001</v>
      </c>
      <c r="AN18" s="1568"/>
      <c r="AO18" s="763"/>
      <c r="AP18" s="36"/>
    </row>
    <row r="19" spans="1:42" s="37" customFormat="1" ht="22.5" customHeight="1">
      <c r="A19" s="776"/>
      <c r="B19" s="1587">
        <f>'MIlk-Data Entry'!K12</f>
        <v>0</v>
      </c>
      <c r="C19" s="1424">
        <f>'MIlk-Data Entry'!L12</f>
        <v>6</v>
      </c>
      <c r="D19" s="1425">
        <f>'MIlk-Data Entry'!M12</f>
        <v>45967</v>
      </c>
      <c r="E19" s="1426"/>
      <c r="F19" s="1537" t="str">
        <f>CONCATENATE('MIlk-Data Entry'!N12," ","(",'MIlk-Data Entry'!O12,")")</f>
        <v>Thursday (खुला)</v>
      </c>
      <c r="G19" s="1538"/>
      <c r="H19" s="1439">
        <f>'MIlk-Data Entry'!AC12</f>
        <v>0</v>
      </c>
      <c r="I19" s="1383">
        <f>'MIlk-Data Entry'!AD12</f>
        <v>0</v>
      </c>
      <c r="J19" s="1383">
        <f>'MIlk-Data Entry'!AE12</f>
        <v>0</v>
      </c>
      <c r="K19" s="1383">
        <f>'MIlk-Data Entry'!AF12</f>
        <v>0</v>
      </c>
      <c r="L19" s="1383">
        <f>'MIlk-Data Entry'!AG12</f>
        <v>0</v>
      </c>
      <c r="M19" s="1382">
        <f t="shared" ref="M19" si="49">SUM(H19:L19)</f>
        <v>0</v>
      </c>
      <c r="N19" s="1383">
        <f>'MIlk-Data Entry'!AI12</f>
        <v>0</v>
      </c>
      <c r="O19" s="1383">
        <f>'MIlk-Data Entry'!AJ12</f>
        <v>0</v>
      </c>
      <c r="P19" s="1383">
        <f>'MIlk-Data Entry'!AK12</f>
        <v>0</v>
      </c>
      <c r="Q19" s="1382">
        <f t="shared" ref="Q19" si="50">SUM(N19:P19)</f>
        <v>0</v>
      </c>
      <c r="R19" s="1382">
        <f t="shared" ref="R19" si="51">M19+Q19</f>
        <v>0</v>
      </c>
      <c r="S19" s="1579">
        <f>M19*'School Info'!$C$21/1000</f>
        <v>0</v>
      </c>
      <c r="T19" s="1579">
        <f>Q19*'School Info'!$E$21/1000</f>
        <v>0</v>
      </c>
      <c r="U19" s="1581">
        <f t="shared" ref="U19" si="52">SUM(S19:T19)</f>
        <v>0</v>
      </c>
      <c r="V19" s="1579">
        <f>M19*'School Info'!$C$22/1000</f>
        <v>0</v>
      </c>
      <c r="W19" s="1579">
        <f>Q19*'School Info'!$E$22/1000</f>
        <v>0</v>
      </c>
      <c r="X19" s="1581">
        <f t="shared" ref="X19" si="53">SUM(V19:W19)</f>
        <v>0</v>
      </c>
      <c r="Y19" s="1532"/>
      <c r="Z19" s="492">
        <f t="shared" si="10"/>
        <v>0</v>
      </c>
      <c r="AA19" s="477" t="s">
        <v>118</v>
      </c>
      <c r="AB19" s="590">
        <f t="shared" si="25"/>
        <v>49.55</v>
      </c>
      <c r="AC19" s="591">
        <f>'MIlk-Data Entry'!AM12</f>
        <v>0</v>
      </c>
      <c r="AD19" s="591">
        <f>'MIlk-Data Entry'!AQ12</f>
        <v>0</v>
      </c>
      <c r="AE19" s="592">
        <f t="shared" si="14"/>
        <v>49.55</v>
      </c>
      <c r="AF19" s="591">
        <f t="shared" ref="AF19" si="54">S19</f>
        <v>0</v>
      </c>
      <c r="AG19" s="593">
        <f t="shared" si="16"/>
        <v>49.55</v>
      </c>
      <c r="AH19" s="590">
        <f t="shared" si="27"/>
        <v>29.748000000000001</v>
      </c>
      <c r="AI19" s="591">
        <f>'MIlk-Data Entry'!AO12</f>
        <v>0</v>
      </c>
      <c r="AJ19" s="591">
        <f>'MIlk-Data Entry'!AS12</f>
        <v>0</v>
      </c>
      <c r="AK19" s="592">
        <f t="shared" si="17"/>
        <v>29.748000000000001</v>
      </c>
      <c r="AL19" s="591">
        <f t="shared" ref="AL19" si="55">V19</f>
        <v>0</v>
      </c>
      <c r="AM19" s="593">
        <f t="shared" si="19"/>
        <v>29.748000000000001</v>
      </c>
      <c r="AN19" s="1569"/>
      <c r="AO19" s="763"/>
      <c r="AP19" s="36">
        <f>P19+Q19+AH19+AI19</f>
        <v>29.748000000000001</v>
      </c>
    </row>
    <row r="20" spans="1:42" s="37" customFormat="1" ht="22.5" customHeight="1" thickBot="1">
      <c r="A20" s="776"/>
      <c r="B20" s="1587"/>
      <c r="C20" s="1424"/>
      <c r="D20" s="1425"/>
      <c r="E20" s="1426"/>
      <c r="F20" s="1537"/>
      <c r="G20" s="1538"/>
      <c r="H20" s="1439"/>
      <c r="I20" s="1383"/>
      <c r="J20" s="1383"/>
      <c r="K20" s="1383"/>
      <c r="L20" s="1383"/>
      <c r="M20" s="1382"/>
      <c r="N20" s="1383"/>
      <c r="O20" s="1383"/>
      <c r="P20" s="1383"/>
      <c r="Q20" s="1382"/>
      <c r="R20" s="1382"/>
      <c r="S20" s="1580"/>
      <c r="T20" s="1580"/>
      <c r="U20" s="1582"/>
      <c r="V20" s="1580"/>
      <c r="W20" s="1580"/>
      <c r="X20" s="1582"/>
      <c r="Y20" s="1532"/>
      <c r="Z20" s="493">
        <f t="shared" si="13"/>
        <v>0</v>
      </c>
      <c r="AA20" s="478" t="s">
        <v>119</v>
      </c>
      <c r="AB20" s="594">
        <f t="shared" si="25"/>
        <v>69.760000000000005</v>
      </c>
      <c r="AC20" s="595">
        <f>'MIlk-Data Entry'!AN12</f>
        <v>0</v>
      </c>
      <c r="AD20" s="595">
        <f>'MIlk-Data Entry'!AR12</f>
        <v>0</v>
      </c>
      <c r="AE20" s="596">
        <f t="shared" si="14"/>
        <v>69.760000000000005</v>
      </c>
      <c r="AF20" s="595">
        <f t="shared" ref="AF20" si="56">T19</f>
        <v>0</v>
      </c>
      <c r="AG20" s="597">
        <f t="shared" si="16"/>
        <v>69.760000000000005</v>
      </c>
      <c r="AH20" s="594">
        <f t="shared" si="27"/>
        <v>39.877600000000001</v>
      </c>
      <c r="AI20" s="595">
        <f>'MIlk-Data Entry'!AP12</f>
        <v>0</v>
      </c>
      <c r="AJ20" s="595">
        <f>'MIlk-Data Entry'!AT12</f>
        <v>0</v>
      </c>
      <c r="AK20" s="596">
        <f t="shared" si="17"/>
        <v>39.877600000000001</v>
      </c>
      <c r="AL20" s="595">
        <f t="shared" ref="AL20" si="57">W19</f>
        <v>0</v>
      </c>
      <c r="AM20" s="597">
        <f t="shared" si="19"/>
        <v>39.877600000000001</v>
      </c>
      <c r="AN20" s="1569"/>
      <c r="AO20" s="763"/>
      <c r="AP20" s="36"/>
    </row>
    <row r="21" spans="1:42" s="37" customFormat="1" ht="22.5" customHeight="1">
      <c r="A21" s="776"/>
      <c r="B21" s="1587">
        <f>'MIlk-Data Entry'!K13</f>
        <v>0</v>
      </c>
      <c r="C21" s="1437">
        <f>'MIlk-Data Entry'!L13</f>
        <v>7</v>
      </c>
      <c r="D21" s="1533">
        <f>'MIlk-Data Entry'!M13</f>
        <v>45968</v>
      </c>
      <c r="E21" s="1534"/>
      <c r="F21" s="1420" t="str">
        <f>CONCATENATE('MIlk-Data Entry'!N13," ","(",'MIlk-Data Entry'!O13,")")</f>
        <v>Friday (खुला)</v>
      </c>
      <c r="G21" s="1421"/>
      <c r="H21" s="1542">
        <f>'MIlk-Data Entry'!AC13</f>
        <v>0</v>
      </c>
      <c r="I21" s="1544">
        <f>'MIlk-Data Entry'!AD13</f>
        <v>0</v>
      </c>
      <c r="J21" s="1544">
        <f>'MIlk-Data Entry'!AE13</f>
        <v>0</v>
      </c>
      <c r="K21" s="1544">
        <f>'MIlk-Data Entry'!AF13</f>
        <v>0</v>
      </c>
      <c r="L21" s="1544">
        <f>'MIlk-Data Entry'!AG13</f>
        <v>0</v>
      </c>
      <c r="M21" s="1546">
        <f t="shared" ref="M21" si="58">SUM(H21:L21)</f>
        <v>0</v>
      </c>
      <c r="N21" s="1544">
        <f>'MIlk-Data Entry'!AI13</f>
        <v>0</v>
      </c>
      <c r="O21" s="1544">
        <f>'MIlk-Data Entry'!AJ13</f>
        <v>0</v>
      </c>
      <c r="P21" s="1544">
        <f>'MIlk-Data Entry'!AK13</f>
        <v>0</v>
      </c>
      <c r="Q21" s="1546">
        <f t="shared" ref="Q21" si="59">SUM(N21:P21)</f>
        <v>0</v>
      </c>
      <c r="R21" s="1546">
        <f t="shared" ref="R21" si="60">M21+Q21</f>
        <v>0</v>
      </c>
      <c r="S21" s="1573">
        <f>M21*'School Info'!$C$21/1000</f>
        <v>0</v>
      </c>
      <c r="T21" s="1573">
        <f>Q21*'School Info'!$E$21/1000</f>
        <v>0</v>
      </c>
      <c r="U21" s="1575">
        <f t="shared" ref="U21" si="61">SUM(S21:T21)</f>
        <v>0</v>
      </c>
      <c r="V21" s="1573">
        <f>M21*'School Info'!$C$22/1000</f>
        <v>0</v>
      </c>
      <c r="W21" s="1573">
        <f>Q21*'School Info'!$E$22/1000</f>
        <v>0</v>
      </c>
      <c r="X21" s="1575">
        <f t="shared" ref="X21" si="62">SUM(V21:W21)</f>
        <v>0</v>
      </c>
      <c r="Y21" s="1397"/>
      <c r="Z21" s="492">
        <f t="shared" si="10"/>
        <v>0</v>
      </c>
      <c r="AA21" s="380" t="s">
        <v>118</v>
      </c>
      <c r="AB21" s="582">
        <f t="shared" si="25"/>
        <v>49.55</v>
      </c>
      <c r="AC21" s="583">
        <f>'MIlk-Data Entry'!AM13</f>
        <v>0</v>
      </c>
      <c r="AD21" s="583">
        <f>'MIlk-Data Entry'!AQ13</f>
        <v>0</v>
      </c>
      <c r="AE21" s="584">
        <f t="shared" si="14"/>
        <v>49.55</v>
      </c>
      <c r="AF21" s="583">
        <f t="shared" ref="AF21" si="63">S21</f>
        <v>0</v>
      </c>
      <c r="AG21" s="585">
        <f t="shared" si="16"/>
        <v>49.55</v>
      </c>
      <c r="AH21" s="582">
        <f t="shared" si="27"/>
        <v>29.748000000000001</v>
      </c>
      <c r="AI21" s="583">
        <f>'MIlk-Data Entry'!AO13</f>
        <v>0</v>
      </c>
      <c r="AJ21" s="583">
        <f>'MIlk-Data Entry'!AS13</f>
        <v>0</v>
      </c>
      <c r="AK21" s="584">
        <f t="shared" si="17"/>
        <v>29.748000000000001</v>
      </c>
      <c r="AL21" s="583">
        <f t="shared" ref="AL21" si="64">V21</f>
        <v>0</v>
      </c>
      <c r="AM21" s="585">
        <f t="shared" si="19"/>
        <v>29.748000000000001</v>
      </c>
      <c r="AN21" s="1567"/>
      <c r="AO21" s="763"/>
      <c r="AP21" s="36">
        <f>P21+Q21+AH21+AI21</f>
        <v>29.748000000000001</v>
      </c>
    </row>
    <row r="22" spans="1:42" s="37" customFormat="1" ht="22.5" customHeight="1" thickBot="1">
      <c r="A22" s="776"/>
      <c r="B22" s="1587"/>
      <c r="C22" s="1438"/>
      <c r="D22" s="1535"/>
      <c r="E22" s="1536"/>
      <c r="F22" s="1422"/>
      <c r="G22" s="1423"/>
      <c r="H22" s="1543"/>
      <c r="I22" s="1545"/>
      <c r="J22" s="1545"/>
      <c r="K22" s="1545"/>
      <c r="L22" s="1545"/>
      <c r="M22" s="1547"/>
      <c r="N22" s="1545"/>
      <c r="O22" s="1545"/>
      <c r="P22" s="1545"/>
      <c r="Q22" s="1547"/>
      <c r="R22" s="1547"/>
      <c r="S22" s="1574"/>
      <c r="T22" s="1574"/>
      <c r="U22" s="1576"/>
      <c r="V22" s="1574"/>
      <c r="W22" s="1574"/>
      <c r="X22" s="1576"/>
      <c r="Y22" s="1398"/>
      <c r="Z22" s="493">
        <f t="shared" si="13"/>
        <v>0</v>
      </c>
      <c r="AA22" s="473" t="s">
        <v>119</v>
      </c>
      <c r="AB22" s="586">
        <f t="shared" si="25"/>
        <v>69.760000000000005</v>
      </c>
      <c r="AC22" s="587">
        <f>'MIlk-Data Entry'!AN13</f>
        <v>0</v>
      </c>
      <c r="AD22" s="587">
        <f>'MIlk-Data Entry'!AR13</f>
        <v>0</v>
      </c>
      <c r="AE22" s="588">
        <f t="shared" si="14"/>
        <v>69.760000000000005</v>
      </c>
      <c r="AF22" s="587">
        <f t="shared" ref="AF22" si="65">T21</f>
        <v>0</v>
      </c>
      <c r="AG22" s="589">
        <f t="shared" si="16"/>
        <v>69.760000000000005</v>
      </c>
      <c r="AH22" s="586">
        <f t="shared" si="27"/>
        <v>39.877600000000001</v>
      </c>
      <c r="AI22" s="587">
        <f>'MIlk-Data Entry'!AP13</f>
        <v>0</v>
      </c>
      <c r="AJ22" s="587">
        <f>'MIlk-Data Entry'!AT13</f>
        <v>0</v>
      </c>
      <c r="AK22" s="588">
        <f t="shared" si="17"/>
        <v>39.877600000000001</v>
      </c>
      <c r="AL22" s="587">
        <f t="shared" ref="AL22" si="66">W21</f>
        <v>0</v>
      </c>
      <c r="AM22" s="589">
        <f t="shared" si="19"/>
        <v>39.877600000000001</v>
      </c>
      <c r="AN22" s="1568"/>
      <c r="AO22" s="763"/>
      <c r="AP22" s="36"/>
    </row>
    <row r="23" spans="1:42" s="37" customFormat="1" ht="22.5" customHeight="1">
      <c r="A23" s="776"/>
      <c r="B23" s="1587">
        <f>'MIlk-Data Entry'!K14</f>
        <v>0</v>
      </c>
      <c r="C23" s="1424">
        <f>'MIlk-Data Entry'!L14</f>
        <v>8</v>
      </c>
      <c r="D23" s="1425">
        <f>'MIlk-Data Entry'!M14</f>
        <v>45969</v>
      </c>
      <c r="E23" s="1426"/>
      <c r="F23" s="1537" t="str">
        <f>CONCATENATE('MIlk-Data Entry'!N14," ","(",'MIlk-Data Entry'!O14,")")</f>
        <v>Saturday (खुला)</v>
      </c>
      <c r="G23" s="1538"/>
      <c r="H23" s="1439">
        <f>'MIlk-Data Entry'!AC14</f>
        <v>0</v>
      </c>
      <c r="I23" s="1383">
        <f>'MIlk-Data Entry'!AD14</f>
        <v>0</v>
      </c>
      <c r="J23" s="1383">
        <f>'MIlk-Data Entry'!AE14</f>
        <v>0</v>
      </c>
      <c r="K23" s="1383">
        <f>'MIlk-Data Entry'!AF14</f>
        <v>0</v>
      </c>
      <c r="L23" s="1383">
        <f>'MIlk-Data Entry'!AG14</f>
        <v>0</v>
      </c>
      <c r="M23" s="1382">
        <f t="shared" ref="M23" si="67">SUM(H23:L23)</f>
        <v>0</v>
      </c>
      <c r="N23" s="1383">
        <f>'MIlk-Data Entry'!AI14</f>
        <v>0</v>
      </c>
      <c r="O23" s="1383">
        <f>'MIlk-Data Entry'!AJ14</f>
        <v>0</v>
      </c>
      <c r="P23" s="1383">
        <f>'MIlk-Data Entry'!AK14</f>
        <v>0</v>
      </c>
      <c r="Q23" s="1382">
        <f t="shared" ref="Q23" si="68">SUM(N23:P23)</f>
        <v>0</v>
      </c>
      <c r="R23" s="1382">
        <f t="shared" ref="R23" si="69">M23+Q23</f>
        <v>0</v>
      </c>
      <c r="S23" s="1579">
        <f>M23*'School Info'!$C$21/1000</f>
        <v>0</v>
      </c>
      <c r="T23" s="1579">
        <f>Q23*'School Info'!$E$21/1000</f>
        <v>0</v>
      </c>
      <c r="U23" s="1581">
        <f t="shared" ref="U23" si="70">SUM(S23:T23)</f>
        <v>0</v>
      </c>
      <c r="V23" s="1579">
        <f>M23*'School Info'!$C$22/1000</f>
        <v>0</v>
      </c>
      <c r="W23" s="1579">
        <f>Q23*'School Info'!$E$22/1000</f>
        <v>0</v>
      </c>
      <c r="X23" s="1581">
        <f t="shared" ref="X23" si="71">SUM(V23:W23)</f>
        <v>0</v>
      </c>
      <c r="Y23" s="1532"/>
      <c r="Z23" s="492">
        <f t="shared" si="10"/>
        <v>0</v>
      </c>
      <c r="AA23" s="477" t="s">
        <v>118</v>
      </c>
      <c r="AB23" s="590">
        <f t="shared" si="25"/>
        <v>49.55</v>
      </c>
      <c r="AC23" s="591">
        <f>'MIlk-Data Entry'!AM14</f>
        <v>0</v>
      </c>
      <c r="AD23" s="591">
        <f>'MIlk-Data Entry'!AQ14</f>
        <v>0</v>
      </c>
      <c r="AE23" s="592">
        <f t="shared" si="14"/>
        <v>49.55</v>
      </c>
      <c r="AF23" s="591">
        <f t="shared" ref="AF23" si="72">S23</f>
        <v>0</v>
      </c>
      <c r="AG23" s="593">
        <f t="shared" si="16"/>
        <v>49.55</v>
      </c>
      <c r="AH23" s="590">
        <f t="shared" si="27"/>
        <v>29.748000000000001</v>
      </c>
      <c r="AI23" s="591">
        <f>'MIlk-Data Entry'!AO14</f>
        <v>0</v>
      </c>
      <c r="AJ23" s="591">
        <f>'MIlk-Data Entry'!AS14</f>
        <v>0</v>
      </c>
      <c r="AK23" s="592">
        <f t="shared" si="17"/>
        <v>29.748000000000001</v>
      </c>
      <c r="AL23" s="591">
        <f t="shared" ref="AL23" si="73">V23</f>
        <v>0</v>
      </c>
      <c r="AM23" s="593">
        <f t="shared" si="19"/>
        <v>29.748000000000001</v>
      </c>
      <c r="AN23" s="1569"/>
      <c r="AO23" s="763"/>
      <c r="AP23" s="36">
        <f>P23+Q23+AH23+AI23</f>
        <v>29.748000000000001</v>
      </c>
    </row>
    <row r="24" spans="1:42" s="37" customFormat="1" ht="22.5" customHeight="1" thickBot="1">
      <c r="A24" s="776"/>
      <c r="B24" s="1587"/>
      <c r="C24" s="1424"/>
      <c r="D24" s="1425"/>
      <c r="E24" s="1426"/>
      <c r="F24" s="1537"/>
      <c r="G24" s="1538"/>
      <c r="H24" s="1439"/>
      <c r="I24" s="1383"/>
      <c r="J24" s="1383"/>
      <c r="K24" s="1383"/>
      <c r="L24" s="1383"/>
      <c r="M24" s="1382"/>
      <c r="N24" s="1383"/>
      <c r="O24" s="1383"/>
      <c r="P24" s="1383"/>
      <c r="Q24" s="1382"/>
      <c r="R24" s="1382"/>
      <c r="S24" s="1580"/>
      <c r="T24" s="1580"/>
      <c r="U24" s="1582"/>
      <c r="V24" s="1580"/>
      <c r="W24" s="1580"/>
      <c r="X24" s="1582"/>
      <c r="Y24" s="1532"/>
      <c r="Z24" s="493">
        <f t="shared" si="13"/>
        <v>0</v>
      </c>
      <c r="AA24" s="478" t="s">
        <v>119</v>
      </c>
      <c r="AB24" s="594">
        <f t="shared" si="25"/>
        <v>69.760000000000005</v>
      </c>
      <c r="AC24" s="595">
        <f>'MIlk-Data Entry'!AN14</f>
        <v>0</v>
      </c>
      <c r="AD24" s="595">
        <f>'MIlk-Data Entry'!AR14</f>
        <v>0</v>
      </c>
      <c r="AE24" s="596">
        <f t="shared" si="14"/>
        <v>69.760000000000005</v>
      </c>
      <c r="AF24" s="595">
        <f t="shared" ref="AF24" si="74">T23</f>
        <v>0</v>
      </c>
      <c r="AG24" s="597">
        <f t="shared" si="16"/>
        <v>69.760000000000005</v>
      </c>
      <c r="AH24" s="594">
        <f t="shared" si="27"/>
        <v>39.877600000000001</v>
      </c>
      <c r="AI24" s="595">
        <f>'MIlk-Data Entry'!AP14</f>
        <v>0</v>
      </c>
      <c r="AJ24" s="595">
        <f>'MIlk-Data Entry'!AT14</f>
        <v>0</v>
      </c>
      <c r="AK24" s="596">
        <f t="shared" si="17"/>
        <v>39.877600000000001</v>
      </c>
      <c r="AL24" s="595">
        <f t="shared" ref="AL24" si="75">W23</f>
        <v>0</v>
      </c>
      <c r="AM24" s="597">
        <f t="shared" si="19"/>
        <v>39.877600000000001</v>
      </c>
      <c r="AN24" s="1569"/>
      <c r="AO24" s="763"/>
      <c r="AP24" s="36"/>
    </row>
    <row r="25" spans="1:42" s="37" customFormat="1" ht="22.5" customHeight="1">
      <c r="A25" s="776"/>
      <c r="B25" s="1587">
        <f>'MIlk-Data Entry'!K15</f>
        <v>0</v>
      </c>
      <c r="C25" s="1437">
        <f>'MIlk-Data Entry'!L15</f>
        <v>9</v>
      </c>
      <c r="D25" s="1533">
        <f>'MIlk-Data Entry'!M15</f>
        <v>45970</v>
      </c>
      <c r="E25" s="1534"/>
      <c r="F25" s="1420" t="str">
        <f>CONCATENATE('MIlk-Data Entry'!N15," ","(",'MIlk-Data Entry'!O15,")")</f>
        <v>Sunday (रवि॰अव॰)</v>
      </c>
      <c r="G25" s="1421"/>
      <c r="H25" s="1542">
        <f>'MIlk-Data Entry'!AC15</f>
        <v>0</v>
      </c>
      <c r="I25" s="1544">
        <f>'MIlk-Data Entry'!AD15</f>
        <v>0</v>
      </c>
      <c r="J25" s="1544">
        <f>'MIlk-Data Entry'!AE15</f>
        <v>0</v>
      </c>
      <c r="K25" s="1544">
        <f>'MIlk-Data Entry'!AF15</f>
        <v>0</v>
      </c>
      <c r="L25" s="1544">
        <f>'MIlk-Data Entry'!AG15</f>
        <v>0</v>
      </c>
      <c r="M25" s="1546">
        <f t="shared" ref="M25" si="76">SUM(H25:L25)</f>
        <v>0</v>
      </c>
      <c r="N25" s="1544">
        <f>'MIlk-Data Entry'!AI15</f>
        <v>0</v>
      </c>
      <c r="O25" s="1544">
        <f>'MIlk-Data Entry'!AJ15</f>
        <v>0</v>
      </c>
      <c r="P25" s="1544">
        <f>'MIlk-Data Entry'!AK15</f>
        <v>0</v>
      </c>
      <c r="Q25" s="1546">
        <f t="shared" ref="Q25" si="77">SUM(N25:P25)</f>
        <v>0</v>
      </c>
      <c r="R25" s="1546">
        <f t="shared" ref="R25" si="78">M25+Q25</f>
        <v>0</v>
      </c>
      <c r="S25" s="1573">
        <f>M25*'School Info'!$C$21/1000</f>
        <v>0</v>
      </c>
      <c r="T25" s="1573">
        <f>Q25*'School Info'!$E$21/1000</f>
        <v>0</v>
      </c>
      <c r="U25" s="1575">
        <f t="shared" ref="U25" si="79">SUM(S25:T25)</f>
        <v>0</v>
      </c>
      <c r="V25" s="1573">
        <f>M25*'School Info'!$C$22/1000</f>
        <v>0</v>
      </c>
      <c r="W25" s="1573">
        <f>Q25*'School Info'!$E$22/1000</f>
        <v>0</v>
      </c>
      <c r="X25" s="1575">
        <f t="shared" ref="X25" si="80">SUM(V25:W25)</f>
        <v>0</v>
      </c>
      <c r="Y25" s="1397"/>
      <c r="Z25" s="492">
        <f t="shared" si="10"/>
        <v>0</v>
      </c>
      <c r="AA25" s="380" t="s">
        <v>118</v>
      </c>
      <c r="AB25" s="582">
        <f t="shared" si="25"/>
        <v>49.55</v>
      </c>
      <c r="AC25" s="583">
        <f>'MIlk-Data Entry'!AM15</f>
        <v>0</v>
      </c>
      <c r="AD25" s="583">
        <f>'MIlk-Data Entry'!AQ15</f>
        <v>0</v>
      </c>
      <c r="AE25" s="584">
        <f t="shared" si="14"/>
        <v>49.55</v>
      </c>
      <c r="AF25" s="583">
        <f t="shared" ref="AF25" si="81">S25</f>
        <v>0</v>
      </c>
      <c r="AG25" s="585">
        <f t="shared" si="16"/>
        <v>49.55</v>
      </c>
      <c r="AH25" s="582">
        <f t="shared" si="27"/>
        <v>29.748000000000001</v>
      </c>
      <c r="AI25" s="583">
        <f>'MIlk-Data Entry'!AO15</f>
        <v>0</v>
      </c>
      <c r="AJ25" s="583">
        <f>'MIlk-Data Entry'!AS15</f>
        <v>0</v>
      </c>
      <c r="AK25" s="584">
        <f t="shared" si="17"/>
        <v>29.748000000000001</v>
      </c>
      <c r="AL25" s="583">
        <f t="shared" ref="AL25" si="82">V25</f>
        <v>0</v>
      </c>
      <c r="AM25" s="598">
        <f t="shared" si="19"/>
        <v>29.748000000000001</v>
      </c>
      <c r="AN25" s="1577"/>
      <c r="AO25" s="763"/>
      <c r="AP25" s="36">
        <f>P25+Q25+AH25+AI25</f>
        <v>29.748000000000001</v>
      </c>
    </row>
    <row r="26" spans="1:42" s="37" customFormat="1" ht="22.5" customHeight="1" thickBot="1">
      <c r="A26" s="776"/>
      <c r="B26" s="1587"/>
      <c r="C26" s="1438"/>
      <c r="D26" s="1535"/>
      <c r="E26" s="1536"/>
      <c r="F26" s="1422"/>
      <c r="G26" s="1423"/>
      <c r="H26" s="1543"/>
      <c r="I26" s="1545"/>
      <c r="J26" s="1545"/>
      <c r="K26" s="1545"/>
      <c r="L26" s="1545"/>
      <c r="M26" s="1547"/>
      <c r="N26" s="1545"/>
      <c r="O26" s="1545"/>
      <c r="P26" s="1545"/>
      <c r="Q26" s="1547"/>
      <c r="R26" s="1547"/>
      <c r="S26" s="1574"/>
      <c r="T26" s="1574"/>
      <c r="U26" s="1576"/>
      <c r="V26" s="1574"/>
      <c r="W26" s="1574"/>
      <c r="X26" s="1576"/>
      <c r="Y26" s="1398"/>
      <c r="Z26" s="493">
        <f t="shared" si="13"/>
        <v>0</v>
      </c>
      <c r="AA26" s="473" t="s">
        <v>119</v>
      </c>
      <c r="AB26" s="586">
        <f t="shared" si="25"/>
        <v>69.760000000000005</v>
      </c>
      <c r="AC26" s="587">
        <f>'MIlk-Data Entry'!AN15</f>
        <v>0</v>
      </c>
      <c r="AD26" s="587">
        <f>'MIlk-Data Entry'!AR15</f>
        <v>0</v>
      </c>
      <c r="AE26" s="588">
        <f t="shared" si="14"/>
        <v>69.760000000000005</v>
      </c>
      <c r="AF26" s="587">
        <f t="shared" ref="AF26" si="83">T25</f>
        <v>0</v>
      </c>
      <c r="AG26" s="589">
        <f t="shared" si="16"/>
        <v>69.760000000000005</v>
      </c>
      <c r="AH26" s="586">
        <f t="shared" si="27"/>
        <v>39.877600000000001</v>
      </c>
      <c r="AI26" s="587">
        <f>'MIlk-Data Entry'!AP15</f>
        <v>0</v>
      </c>
      <c r="AJ26" s="587">
        <f>'MIlk-Data Entry'!AT15</f>
        <v>0</v>
      </c>
      <c r="AK26" s="588">
        <f t="shared" si="17"/>
        <v>39.877600000000001</v>
      </c>
      <c r="AL26" s="587">
        <f t="shared" ref="AL26" si="84">W25</f>
        <v>0</v>
      </c>
      <c r="AM26" s="599">
        <f t="shared" si="19"/>
        <v>39.877600000000001</v>
      </c>
      <c r="AN26" s="1578"/>
      <c r="AO26" s="763"/>
      <c r="AP26" s="36"/>
    </row>
    <row r="27" spans="1:42" s="37" customFormat="1" ht="22.5" customHeight="1">
      <c r="A27" s="776"/>
      <c r="B27" s="1587">
        <f>'MIlk-Data Entry'!K16</f>
        <v>0</v>
      </c>
      <c r="C27" s="1424">
        <f>'MIlk-Data Entry'!L16</f>
        <v>10</v>
      </c>
      <c r="D27" s="1425">
        <f>'MIlk-Data Entry'!M16</f>
        <v>45971</v>
      </c>
      <c r="E27" s="1426"/>
      <c r="F27" s="1537" t="str">
        <f>CONCATENATE('MIlk-Data Entry'!N16," ","(",'MIlk-Data Entry'!O16,")")</f>
        <v>Monday (खुला)</v>
      </c>
      <c r="G27" s="1538"/>
      <c r="H27" s="1439">
        <f>'MIlk-Data Entry'!AC16</f>
        <v>0</v>
      </c>
      <c r="I27" s="1383">
        <f>'MIlk-Data Entry'!AD16</f>
        <v>0</v>
      </c>
      <c r="J27" s="1383">
        <f>'MIlk-Data Entry'!AE16</f>
        <v>0</v>
      </c>
      <c r="K27" s="1383">
        <f>'MIlk-Data Entry'!AF16</f>
        <v>0</v>
      </c>
      <c r="L27" s="1383">
        <f>'MIlk-Data Entry'!AG16</f>
        <v>0</v>
      </c>
      <c r="M27" s="1382">
        <f t="shared" ref="M27" si="85">SUM(H27:L27)</f>
        <v>0</v>
      </c>
      <c r="N27" s="1383">
        <f>'MIlk-Data Entry'!AI16</f>
        <v>0</v>
      </c>
      <c r="O27" s="1383">
        <f>'MIlk-Data Entry'!AJ16</f>
        <v>0</v>
      </c>
      <c r="P27" s="1383">
        <f>'MIlk-Data Entry'!AK16</f>
        <v>0</v>
      </c>
      <c r="Q27" s="1382">
        <f t="shared" ref="Q27" si="86">SUM(N27:P27)</f>
        <v>0</v>
      </c>
      <c r="R27" s="1382">
        <f t="shared" ref="R27" si="87">M27+Q27</f>
        <v>0</v>
      </c>
      <c r="S27" s="1579">
        <f>M27*'School Info'!$C$21/1000</f>
        <v>0</v>
      </c>
      <c r="T27" s="1579">
        <f>Q27*'School Info'!$E$21/1000</f>
        <v>0</v>
      </c>
      <c r="U27" s="1581">
        <f t="shared" ref="U27" si="88">SUM(S27:T27)</f>
        <v>0</v>
      </c>
      <c r="V27" s="1579">
        <f>M27*'School Info'!$C$22/1000</f>
        <v>0</v>
      </c>
      <c r="W27" s="1579">
        <f>Q27*'School Info'!$E$22/1000</f>
        <v>0</v>
      </c>
      <c r="X27" s="1581">
        <f t="shared" ref="X27" si="89">SUM(V27:W27)</f>
        <v>0</v>
      </c>
      <c r="Y27" s="1532"/>
      <c r="Z27" s="492">
        <f t="shared" si="10"/>
        <v>0</v>
      </c>
      <c r="AA27" s="477" t="s">
        <v>118</v>
      </c>
      <c r="AB27" s="590">
        <f t="shared" si="25"/>
        <v>49.55</v>
      </c>
      <c r="AC27" s="591">
        <f>'MIlk-Data Entry'!AM16</f>
        <v>0</v>
      </c>
      <c r="AD27" s="591">
        <f>'MIlk-Data Entry'!AQ16</f>
        <v>0</v>
      </c>
      <c r="AE27" s="592">
        <f t="shared" si="14"/>
        <v>49.55</v>
      </c>
      <c r="AF27" s="591">
        <f t="shared" ref="AF27" si="90">S27</f>
        <v>0</v>
      </c>
      <c r="AG27" s="593">
        <f t="shared" si="16"/>
        <v>49.55</v>
      </c>
      <c r="AH27" s="590">
        <f t="shared" si="27"/>
        <v>29.748000000000001</v>
      </c>
      <c r="AI27" s="591">
        <f>'MIlk-Data Entry'!AO16</f>
        <v>0</v>
      </c>
      <c r="AJ27" s="591">
        <f>'MIlk-Data Entry'!AS16</f>
        <v>0</v>
      </c>
      <c r="AK27" s="592">
        <f t="shared" si="17"/>
        <v>29.748000000000001</v>
      </c>
      <c r="AL27" s="591">
        <f t="shared" ref="AL27" si="91">V27</f>
        <v>0</v>
      </c>
      <c r="AM27" s="593">
        <f t="shared" si="19"/>
        <v>29.748000000000001</v>
      </c>
      <c r="AN27" s="1569"/>
      <c r="AO27" s="763"/>
      <c r="AP27" s="36">
        <f>P27+Q27+AH27+AI27</f>
        <v>29.748000000000001</v>
      </c>
    </row>
    <row r="28" spans="1:42" s="37" customFormat="1" ht="22.5" customHeight="1" thickBot="1">
      <c r="A28" s="776"/>
      <c r="B28" s="1587"/>
      <c r="C28" s="1424"/>
      <c r="D28" s="1425"/>
      <c r="E28" s="1426"/>
      <c r="F28" s="1537"/>
      <c r="G28" s="1538"/>
      <c r="H28" s="1439"/>
      <c r="I28" s="1383"/>
      <c r="J28" s="1383"/>
      <c r="K28" s="1383"/>
      <c r="L28" s="1383"/>
      <c r="M28" s="1382"/>
      <c r="N28" s="1383"/>
      <c r="O28" s="1383"/>
      <c r="P28" s="1383"/>
      <c r="Q28" s="1382"/>
      <c r="R28" s="1382"/>
      <c r="S28" s="1580"/>
      <c r="T28" s="1580"/>
      <c r="U28" s="1582"/>
      <c r="V28" s="1580"/>
      <c r="W28" s="1580"/>
      <c r="X28" s="1582"/>
      <c r="Y28" s="1532"/>
      <c r="Z28" s="493">
        <f t="shared" si="13"/>
        <v>0</v>
      </c>
      <c r="AA28" s="478" t="s">
        <v>119</v>
      </c>
      <c r="AB28" s="594">
        <f t="shared" si="25"/>
        <v>69.760000000000005</v>
      </c>
      <c r="AC28" s="595">
        <f>'MIlk-Data Entry'!AN16</f>
        <v>0</v>
      </c>
      <c r="AD28" s="595">
        <f>'MIlk-Data Entry'!AR16</f>
        <v>0</v>
      </c>
      <c r="AE28" s="596">
        <f t="shared" si="14"/>
        <v>69.760000000000005</v>
      </c>
      <c r="AF28" s="595">
        <f t="shared" ref="AF28" si="92">T27</f>
        <v>0</v>
      </c>
      <c r="AG28" s="597">
        <f t="shared" si="16"/>
        <v>69.760000000000005</v>
      </c>
      <c r="AH28" s="594">
        <f t="shared" si="27"/>
        <v>39.877600000000001</v>
      </c>
      <c r="AI28" s="595">
        <f>'MIlk-Data Entry'!AP16</f>
        <v>0</v>
      </c>
      <c r="AJ28" s="595">
        <f>'MIlk-Data Entry'!AT16</f>
        <v>0</v>
      </c>
      <c r="AK28" s="596">
        <f t="shared" si="17"/>
        <v>39.877600000000001</v>
      </c>
      <c r="AL28" s="595">
        <f t="shared" ref="AL28" si="93">W27</f>
        <v>0</v>
      </c>
      <c r="AM28" s="597">
        <f t="shared" si="19"/>
        <v>39.877600000000001</v>
      </c>
      <c r="AN28" s="1569"/>
      <c r="AO28" s="763"/>
      <c r="AP28" s="36"/>
    </row>
    <row r="29" spans="1:42" s="37" customFormat="1" ht="22.5" customHeight="1">
      <c r="A29" s="776"/>
      <c r="B29" s="1587">
        <f>'MIlk-Data Entry'!K17</f>
        <v>0</v>
      </c>
      <c r="C29" s="1437">
        <f>'MIlk-Data Entry'!L17</f>
        <v>11</v>
      </c>
      <c r="D29" s="1533">
        <f>'MIlk-Data Entry'!M17</f>
        <v>45972</v>
      </c>
      <c r="E29" s="1534"/>
      <c r="F29" s="1420" t="str">
        <f>CONCATENATE('MIlk-Data Entry'!N17," ","(",'MIlk-Data Entry'!O17,")")</f>
        <v>Tuesday (खुला)</v>
      </c>
      <c r="G29" s="1421"/>
      <c r="H29" s="1542">
        <f>'MIlk-Data Entry'!AC17</f>
        <v>0</v>
      </c>
      <c r="I29" s="1544">
        <f>'MIlk-Data Entry'!AD17</f>
        <v>0</v>
      </c>
      <c r="J29" s="1544">
        <f>'MIlk-Data Entry'!AE17</f>
        <v>0</v>
      </c>
      <c r="K29" s="1544">
        <f>'MIlk-Data Entry'!AF17</f>
        <v>0</v>
      </c>
      <c r="L29" s="1544">
        <f>'MIlk-Data Entry'!AG17</f>
        <v>0</v>
      </c>
      <c r="M29" s="1546">
        <f t="shared" ref="M29" si="94">SUM(H29:L29)</f>
        <v>0</v>
      </c>
      <c r="N29" s="1544">
        <f>'MIlk-Data Entry'!AI17</f>
        <v>0</v>
      </c>
      <c r="O29" s="1544">
        <f>'MIlk-Data Entry'!AJ17</f>
        <v>0</v>
      </c>
      <c r="P29" s="1544">
        <f>'MIlk-Data Entry'!AK17</f>
        <v>0</v>
      </c>
      <c r="Q29" s="1546">
        <f t="shared" ref="Q29" si="95">SUM(N29:P29)</f>
        <v>0</v>
      </c>
      <c r="R29" s="1546">
        <f t="shared" ref="R29" si="96">M29+Q29</f>
        <v>0</v>
      </c>
      <c r="S29" s="1573">
        <f>M29*'School Info'!$C$21/1000</f>
        <v>0</v>
      </c>
      <c r="T29" s="1573">
        <f>Q29*'School Info'!$E$21/1000</f>
        <v>0</v>
      </c>
      <c r="U29" s="1575">
        <f t="shared" ref="U29" si="97">SUM(S29:T29)</f>
        <v>0</v>
      </c>
      <c r="V29" s="1573">
        <f>M29*'School Info'!$C$22/1000</f>
        <v>0</v>
      </c>
      <c r="W29" s="1573">
        <f>Q29*'School Info'!$E$22/1000</f>
        <v>0</v>
      </c>
      <c r="X29" s="1575">
        <f t="shared" ref="X29" si="98">SUM(V29:W29)</f>
        <v>0</v>
      </c>
      <c r="Y29" s="1397"/>
      <c r="Z29" s="492">
        <f t="shared" si="10"/>
        <v>0</v>
      </c>
      <c r="AA29" s="380" t="s">
        <v>118</v>
      </c>
      <c r="AB29" s="582">
        <f t="shared" si="25"/>
        <v>49.55</v>
      </c>
      <c r="AC29" s="583">
        <f>'MIlk-Data Entry'!AM17</f>
        <v>0</v>
      </c>
      <c r="AD29" s="583">
        <f>'MIlk-Data Entry'!AQ17</f>
        <v>0</v>
      </c>
      <c r="AE29" s="584">
        <f t="shared" si="14"/>
        <v>49.55</v>
      </c>
      <c r="AF29" s="583">
        <f t="shared" ref="AF29" si="99">S29</f>
        <v>0</v>
      </c>
      <c r="AG29" s="585">
        <f t="shared" si="16"/>
        <v>49.55</v>
      </c>
      <c r="AH29" s="582">
        <f t="shared" si="27"/>
        <v>29.748000000000001</v>
      </c>
      <c r="AI29" s="583">
        <f>'MIlk-Data Entry'!AO17</f>
        <v>0</v>
      </c>
      <c r="AJ29" s="583">
        <f>'MIlk-Data Entry'!AS17</f>
        <v>0</v>
      </c>
      <c r="AK29" s="584">
        <f t="shared" si="17"/>
        <v>29.748000000000001</v>
      </c>
      <c r="AL29" s="583">
        <f t="shared" ref="AL29" si="100">V29</f>
        <v>0</v>
      </c>
      <c r="AM29" s="585">
        <f t="shared" si="19"/>
        <v>29.748000000000001</v>
      </c>
      <c r="AN29" s="1567"/>
      <c r="AO29" s="763"/>
      <c r="AP29" s="36">
        <f>P29+Q29+AH29+AI29</f>
        <v>29.748000000000001</v>
      </c>
    </row>
    <row r="30" spans="1:42" s="37" customFormat="1" ht="22.5" customHeight="1" thickBot="1">
      <c r="A30" s="776"/>
      <c r="B30" s="1587"/>
      <c r="C30" s="1438"/>
      <c r="D30" s="1535"/>
      <c r="E30" s="1536"/>
      <c r="F30" s="1422"/>
      <c r="G30" s="1423"/>
      <c r="H30" s="1543"/>
      <c r="I30" s="1545"/>
      <c r="J30" s="1545"/>
      <c r="K30" s="1545"/>
      <c r="L30" s="1545"/>
      <c r="M30" s="1547"/>
      <c r="N30" s="1545"/>
      <c r="O30" s="1545"/>
      <c r="P30" s="1545"/>
      <c r="Q30" s="1547"/>
      <c r="R30" s="1547"/>
      <c r="S30" s="1574"/>
      <c r="T30" s="1574"/>
      <c r="U30" s="1576"/>
      <c r="V30" s="1574"/>
      <c r="W30" s="1574"/>
      <c r="X30" s="1576"/>
      <c r="Y30" s="1398"/>
      <c r="Z30" s="493">
        <f t="shared" si="13"/>
        <v>0</v>
      </c>
      <c r="AA30" s="473" t="s">
        <v>119</v>
      </c>
      <c r="AB30" s="586">
        <f t="shared" si="25"/>
        <v>69.760000000000005</v>
      </c>
      <c r="AC30" s="587">
        <f>'MIlk-Data Entry'!AN17</f>
        <v>0</v>
      </c>
      <c r="AD30" s="587">
        <f>'MIlk-Data Entry'!AR17</f>
        <v>0</v>
      </c>
      <c r="AE30" s="588">
        <f t="shared" si="14"/>
        <v>69.760000000000005</v>
      </c>
      <c r="AF30" s="587">
        <f t="shared" ref="AF30" si="101">T29</f>
        <v>0</v>
      </c>
      <c r="AG30" s="589">
        <f t="shared" si="16"/>
        <v>69.760000000000005</v>
      </c>
      <c r="AH30" s="586">
        <f t="shared" si="27"/>
        <v>39.877600000000001</v>
      </c>
      <c r="AI30" s="587">
        <f>'MIlk-Data Entry'!AP17</f>
        <v>0</v>
      </c>
      <c r="AJ30" s="587">
        <f>'MIlk-Data Entry'!AT17</f>
        <v>0</v>
      </c>
      <c r="AK30" s="588">
        <f t="shared" si="17"/>
        <v>39.877600000000001</v>
      </c>
      <c r="AL30" s="587">
        <f t="shared" ref="AL30" si="102">W29</f>
        <v>0</v>
      </c>
      <c r="AM30" s="589">
        <f t="shared" si="19"/>
        <v>39.877600000000001</v>
      </c>
      <c r="AN30" s="1568"/>
      <c r="AO30" s="763"/>
      <c r="AP30" s="36"/>
    </row>
    <row r="31" spans="1:42" s="37" customFormat="1" ht="22.5" customHeight="1">
      <c r="A31" s="776"/>
      <c r="B31" s="1587">
        <f>'MIlk-Data Entry'!K18</f>
        <v>0</v>
      </c>
      <c r="C31" s="1424">
        <f>'MIlk-Data Entry'!L18</f>
        <v>12</v>
      </c>
      <c r="D31" s="1425">
        <f>'MIlk-Data Entry'!M18</f>
        <v>45973</v>
      </c>
      <c r="E31" s="1426"/>
      <c r="F31" s="1537" t="str">
        <f>CONCATENATE('MIlk-Data Entry'!N18," ","(",'MIlk-Data Entry'!O18,")")</f>
        <v>Wednesday (खुला)</v>
      </c>
      <c r="G31" s="1538"/>
      <c r="H31" s="1439">
        <f>'MIlk-Data Entry'!AC18</f>
        <v>0</v>
      </c>
      <c r="I31" s="1383">
        <f>'MIlk-Data Entry'!AD18</f>
        <v>0</v>
      </c>
      <c r="J31" s="1383">
        <f>'MIlk-Data Entry'!AE18</f>
        <v>0</v>
      </c>
      <c r="K31" s="1383">
        <f>'MIlk-Data Entry'!AF18</f>
        <v>0</v>
      </c>
      <c r="L31" s="1383">
        <f>'MIlk-Data Entry'!AG18</f>
        <v>0</v>
      </c>
      <c r="M31" s="1382">
        <f t="shared" ref="M31" si="103">SUM(H31:L31)</f>
        <v>0</v>
      </c>
      <c r="N31" s="1383">
        <f>'MIlk-Data Entry'!AI18</f>
        <v>0</v>
      </c>
      <c r="O31" s="1383">
        <f>'MIlk-Data Entry'!AJ18</f>
        <v>0</v>
      </c>
      <c r="P31" s="1383">
        <f>'MIlk-Data Entry'!AK18</f>
        <v>0</v>
      </c>
      <c r="Q31" s="1382">
        <f t="shared" ref="Q31" si="104">SUM(N31:P31)</f>
        <v>0</v>
      </c>
      <c r="R31" s="1382">
        <f t="shared" ref="R31" si="105">M31+Q31</f>
        <v>0</v>
      </c>
      <c r="S31" s="1579">
        <f>M31*'School Info'!$C$21/1000</f>
        <v>0</v>
      </c>
      <c r="T31" s="1579">
        <f>Q31*'School Info'!$E$21/1000</f>
        <v>0</v>
      </c>
      <c r="U31" s="1581">
        <f t="shared" ref="U31" si="106">SUM(S31:T31)</f>
        <v>0</v>
      </c>
      <c r="V31" s="1579">
        <f>M31*'School Info'!$C$22/1000</f>
        <v>0</v>
      </c>
      <c r="W31" s="1579">
        <f>Q31*'School Info'!$E$22/1000</f>
        <v>0</v>
      </c>
      <c r="X31" s="1581">
        <f t="shared" ref="X31" si="107">SUM(V31:W31)</f>
        <v>0</v>
      </c>
      <c r="Y31" s="1532"/>
      <c r="Z31" s="492">
        <f t="shared" si="10"/>
        <v>0</v>
      </c>
      <c r="AA31" s="477" t="s">
        <v>118</v>
      </c>
      <c r="AB31" s="590">
        <f t="shared" si="25"/>
        <v>49.55</v>
      </c>
      <c r="AC31" s="591">
        <f>'MIlk-Data Entry'!AM18</f>
        <v>0</v>
      </c>
      <c r="AD31" s="591">
        <f>'MIlk-Data Entry'!AQ18</f>
        <v>0</v>
      </c>
      <c r="AE31" s="592">
        <f t="shared" si="14"/>
        <v>49.55</v>
      </c>
      <c r="AF31" s="591">
        <f t="shared" ref="AF31" si="108">S31</f>
        <v>0</v>
      </c>
      <c r="AG31" s="593">
        <f t="shared" si="16"/>
        <v>49.55</v>
      </c>
      <c r="AH31" s="590">
        <f t="shared" si="27"/>
        <v>29.748000000000001</v>
      </c>
      <c r="AI31" s="591">
        <f>'MIlk-Data Entry'!AO18</f>
        <v>0</v>
      </c>
      <c r="AJ31" s="591">
        <f>'MIlk-Data Entry'!AS18</f>
        <v>0</v>
      </c>
      <c r="AK31" s="592">
        <f t="shared" si="17"/>
        <v>29.748000000000001</v>
      </c>
      <c r="AL31" s="591">
        <f t="shared" ref="AL31" si="109">V31</f>
        <v>0</v>
      </c>
      <c r="AM31" s="593">
        <f t="shared" si="19"/>
        <v>29.748000000000001</v>
      </c>
      <c r="AN31" s="1569"/>
      <c r="AO31" s="763"/>
      <c r="AP31" s="36">
        <f t="shared" ref="AP31:AP47" si="110">P31+Q31+AH31+AI31</f>
        <v>29.748000000000001</v>
      </c>
    </row>
    <row r="32" spans="1:42" s="37" customFormat="1" ht="22.5" customHeight="1" thickBot="1">
      <c r="A32" s="776"/>
      <c r="B32" s="1587"/>
      <c r="C32" s="1424"/>
      <c r="D32" s="1425"/>
      <c r="E32" s="1426"/>
      <c r="F32" s="1537"/>
      <c r="G32" s="1538"/>
      <c r="H32" s="1439"/>
      <c r="I32" s="1383"/>
      <c r="J32" s="1383"/>
      <c r="K32" s="1383"/>
      <c r="L32" s="1383"/>
      <c r="M32" s="1382"/>
      <c r="N32" s="1383"/>
      <c r="O32" s="1383"/>
      <c r="P32" s="1383"/>
      <c r="Q32" s="1382"/>
      <c r="R32" s="1382"/>
      <c r="S32" s="1580"/>
      <c r="T32" s="1580"/>
      <c r="U32" s="1582"/>
      <c r="V32" s="1580"/>
      <c r="W32" s="1580"/>
      <c r="X32" s="1582"/>
      <c r="Y32" s="1532"/>
      <c r="Z32" s="493">
        <f t="shared" si="13"/>
        <v>0</v>
      </c>
      <c r="AA32" s="478" t="s">
        <v>119</v>
      </c>
      <c r="AB32" s="594">
        <f t="shared" si="25"/>
        <v>69.760000000000005</v>
      </c>
      <c r="AC32" s="595">
        <f>'MIlk-Data Entry'!AN18</f>
        <v>0</v>
      </c>
      <c r="AD32" s="595">
        <f>'MIlk-Data Entry'!AR18</f>
        <v>0</v>
      </c>
      <c r="AE32" s="596">
        <f t="shared" si="14"/>
        <v>69.760000000000005</v>
      </c>
      <c r="AF32" s="595">
        <f t="shared" ref="AF32" si="111">T31</f>
        <v>0</v>
      </c>
      <c r="AG32" s="597">
        <f t="shared" si="16"/>
        <v>69.760000000000005</v>
      </c>
      <c r="AH32" s="594">
        <f t="shared" si="27"/>
        <v>39.877600000000001</v>
      </c>
      <c r="AI32" s="595">
        <f>'MIlk-Data Entry'!AP18</f>
        <v>0</v>
      </c>
      <c r="AJ32" s="595">
        <f>'MIlk-Data Entry'!AT18</f>
        <v>0</v>
      </c>
      <c r="AK32" s="596">
        <f t="shared" si="17"/>
        <v>39.877600000000001</v>
      </c>
      <c r="AL32" s="595">
        <f t="shared" ref="AL32" si="112">W31</f>
        <v>0</v>
      </c>
      <c r="AM32" s="597">
        <f t="shared" si="19"/>
        <v>39.877600000000001</v>
      </c>
      <c r="AN32" s="1569"/>
      <c r="AO32" s="763"/>
      <c r="AP32" s="36"/>
    </row>
    <row r="33" spans="1:42" s="37" customFormat="1" ht="22.5" customHeight="1">
      <c r="A33" s="776"/>
      <c r="B33" s="1587">
        <f>'MIlk-Data Entry'!K19</f>
        <v>0</v>
      </c>
      <c r="C33" s="1437">
        <f>'MIlk-Data Entry'!L19</f>
        <v>13</v>
      </c>
      <c r="D33" s="1533">
        <f>'MIlk-Data Entry'!M19</f>
        <v>45974</v>
      </c>
      <c r="E33" s="1534"/>
      <c r="F33" s="1420" t="str">
        <f>CONCATENATE('MIlk-Data Entry'!N19," ","(",'MIlk-Data Entry'!O19,")")</f>
        <v>Thursday (खुला)</v>
      </c>
      <c r="G33" s="1421"/>
      <c r="H33" s="1542">
        <f>'MIlk-Data Entry'!AC19</f>
        <v>0</v>
      </c>
      <c r="I33" s="1544">
        <f>'MIlk-Data Entry'!AD19</f>
        <v>0</v>
      </c>
      <c r="J33" s="1544">
        <f>'MIlk-Data Entry'!AE19</f>
        <v>0</v>
      </c>
      <c r="K33" s="1544">
        <f>'MIlk-Data Entry'!AF19</f>
        <v>0</v>
      </c>
      <c r="L33" s="1544">
        <f>'MIlk-Data Entry'!AG19</f>
        <v>0</v>
      </c>
      <c r="M33" s="1546">
        <f t="shared" ref="M33" si="113">SUM(H33:L33)</f>
        <v>0</v>
      </c>
      <c r="N33" s="1544">
        <f>'MIlk-Data Entry'!AI19</f>
        <v>0</v>
      </c>
      <c r="O33" s="1544">
        <f>'MIlk-Data Entry'!AJ19</f>
        <v>0</v>
      </c>
      <c r="P33" s="1544">
        <f>'MIlk-Data Entry'!AK19</f>
        <v>0</v>
      </c>
      <c r="Q33" s="1546">
        <f t="shared" ref="Q33" si="114">SUM(N33:P33)</f>
        <v>0</v>
      </c>
      <c r="R33" s="1546">
        <f t="shared" ref="R33" si="115">M33+Q33</f>
        <v>0</v>
      </c>
      <c r="S33" s="1573">
        <f>M33*'School Info'!$C$21/1000</f>
        <v>0</v>
      </c>
      <c r="T33" s="1573">
        <f>Q33*'School Info'!$E$21/1000</f>
        <v>0</v>
      </c>
      <c r="U33" s="1575">
        <f t="shared" ref="U33" si="116">SUM(S33:T33)</f>
        <v>0</v>
      </c>
      <c r="V33" s="1573">
        <f>M33*'School Info'!$C$22/1000</f>
        <v>0</v>
      </c>
      <c r="W33" s="1573">
        <f>Q33*'School Info'!$E$22/1000</f>
        <v>0</v>
      </c>
      <c r="X33" s="1575">
        <f t="shared" ref="X33" si="117">SUM(V33:W33)</f>
        <v>0</v>
      </c>
      <c r="Y33" s="1397"/>
      <c r="Z33" s="492">
        <f t="shared" si="10"/>
        <v>0</v>
      </c>
      <c r="AA33" s="380" t="s">
        <v>118</v>
      </c>
      <c r="AB33" s="582">
        <f t="shared" si="25"/>
        <v>49.55</v>
      </c>
      <c r="AC33" s="583">
        <f>'MIlk-Data Entry'!AM19</f>
        <v>0</v>
      </c>
      <c r="AD33" s="583">
        <f>'MIlk-Data Entry'!AQ19</f>
        <v>0</v>
      </c>
      <c r="AE33" s="584">
        <f t="shared" si="14"/>
        <v>49.55</v>
      </c>
      <c r="AF33" s="583">
        <f t="shared" ref="AF33" si="118">S33</f>
        <v>0</v>
      </c>
      <c r="AG33" s="585">
        <f t="shared" si="16"/>
        <v>49.55</v>
      </c>
      <c r="AH33" s="582">
        <f t="shared" si="27"/>
        <v>29.748000000000001</v>
      </c>
      <c r="AI33" s="583">
        <f>'MIlk-Data Entry'!AO19</f>
        <v>0</v>
      </c>
      <c r="AJ33" s="583">
        <f>'MIlk-Data Entry'!AS19</f>
        <v>0</v>
      </c>
      <c r="AK33" s="584">
        <f t="shared" si="17"/>
        <v>29.748000000000001</v>
      </c>
      <c r="AL33" s="583">
        <f t="shared" ref="AL33" si="119">V33</f>
        <v>0</v>
      </c>
      <c r="AM33" s="585">
        <f t="shared" si="19"/>
        <v>29.748000000000001</v>
      </c>
      <c r="AN33" s="1567"/>
      <c r="AO33" s="763"/>
      <c r="AP33" s="36">
        <f t="shared" si="110"/>
        <v>29.748000000000001</v>
      </c>
    </row>
    <row r="34" spans="1:42" s="37" customFormat="1" ht="22.5" customHeight="1" thickBot="1">
      <c r="A34" s="776"/>
      <c r="B34" s="1587"/>
      <c r="C34" s="1438"/>
      <c r="D34" s="1535"/>
      <c r="E34" s="1536"/>
      <c r="F34" s="1422"/>
      <c r="G34" s="1423"/>
      <c r="H34" s="1543"/>
      <c r="I34" s="1545"/>
      <c r="J34" s="1545"/>
      <c r="K34" s="1545"/>
      <c r="L34" s="1545"/>
      <c r="M34" s="1547"/>
      <c r="N34" s="1545"/>
      <c r="O34" s="1545"/>
      <c r="P34" s="1545"/>
      <c r="Q34" s="1547"/>
      <c r="R34" s="1547"/>
      <c r="S34" s="1574"/>
      <c r="T34" s="1574"/>
      <c r="U34" s="1576"/>
      <c r="V34" s="1574"/>
      <c r="W34" s="1574"/>
      <c r="X34" s="1576"/>
      <c r="Y34" s="1398"/>
      <c r="Z34" s="493">
        <f t="shared" si="13"/>
        <v>0</v>
      </c>
      <c r="AA34" s="473" t="s">
        <v>119</v>
      </c>
      <c r="AB34" s="586">
        <f t="shared" si="25"/>
        <v>69.760000000000005</v>
      </c>
      <c r="AC34" s="587">
        <f>'MIlk-Data Entry'!AN19</f>
        <v>0</v>
      </c>
      <c r="AD34" s="587">
        <f>'MIlk-Data Entry'!AR19</f>
        <v>0</v>
      </c>
      <c r="AE34" s="588">
        <f t="shared" si="14"/>
        <v>69.760000000000005</v>
      </c>
      <c r="AF34" s="587">
        <f t="shared" ref="AF34" si="120">T33</f>
        <v>0</v>
      </c>
      <c r="AG34" s="589">
        <f t="shared" si="16"/>
        <v>69.760000000000005</v>
      </c>
      <c r="AH34" s="586">
        <f t="shared" si="27"/>
        <v>39.877600000000001</v>
      </c>
      <c r="AI34" s="587">
        <f>'MIlk-Data Entry'!AP19</f>
        <v>0</v>
      </c>
      <c r="AJ34" s="587">
        <f>'MIlk-Data Entry'!AT19</f>
        <v>0</v>
      </c>
      <c r="AK34" s="588">
        <f t="shared" si="17"/>
        <v>39.877600000000001</v>
      </c>
      <c r="AL34" s="587">
        <f t="shared" ref="AL34" si="121">W33</f>
        <v>0</v>
      </c>
      <c r="AM34" s="589">
        <f t="shared" si="19"/>
        <v>39.877600000000001</v>
      </c>
      <c r="AN34" s="1568"/>
      <c r="AO34" s="763"/>
      <c r="AP34" s="36"/>
    </row>
    <row r="35" spans="1:42" s="37" customFormat="1" ht="22.5" customHeight="1">
      <c r="A35" s="776"/>
      <c r="B35" s="1587">
        <f>'MIlk-Data Entry'!K20</f>
        <v>0</v>
      </c>
      <c r="C35" s="1424">
        <f>'MIlk-Data Entry'!L20</f>
        <v>14</v>
      </c>
      <c r="D35" s="1425">
        <f>'MIlk-Data Entry'!M20</f>
        <v>45975</v>
      </c>
      <c r="E35" s="1426"/>
      <c r="F35" s="1537" t="str">
        <f>CONCATENATE('MIlk-Data Entry'!N20," ","(",'MIlk-Data Entry'!O20,")")</f>
        <v>Friday (खुला)</v>
      </c>
      <c r="G35" s="1538"/>
      <c r="H35" s="1439">
        <f>'MIlk-Data Entry'!AC20</f>
        <v>0</v>
      </c>
      <c r="I35" s="1383">
        <f>'MIlk-Data Entry'!AD20</f>
        <v>0</v>
      </c>
      <c r="J35" s="1383">
        <f>'MIlk-Data Entry'!AE20</f>
        <v>0</v>
      </c>
      <c r="K35" s="1383">
        <f>'MIlk-Data Entry'!AF20</f>
        <v>0</v>
      </c>
      <c r="L35" s="1383">
        <f>'MIlk-Data Entry'!AG20</f>
        <v>0</v>
      </c>
      <c r="M35" s="1382">
        <f t="shared" ref="M35" si="122">SUM(H35:L35)</f>
        <v>0</v>
      </c>
      <c r="N35" s="1383">
        <f>'MIlk-Data Entry'!AI20</f>
        <v>0</v>
      </c>
      <c r="O35" s="1383">
        <f>'MIlk-Data Entry'!AJ20</f>
        <v>0</v>
      </c>
      <c r="P35" s="1383">
        <f>'MIlk-Data Entry'!AK20</f>
        <v>0</v>
      </c>
      <c r="Q35" s="1382">
        <f t="shared" ref="Q35" si="123">SUM(N35:P35)</f>
        <v>0</v>
      </c>
      <c r="R35" s="1382">
        <f t="shared" ref="R35" si="124">M35+Q35</f>
        <v>0</v>
      </c>
      <c r="S35" s="1579">
        <f>M35*'School Info'!$C$21/1000</f>
        <v>0</v>
      </c>
      <c r="T35" s="1579">
        <f>Q35*'School Info'!$E$21/1000</f>
        <v>0</v>
      </c>
      <c r="U35" s="1581">
        <f t="shared" ref="U35" si="125">SUM(S35:T35)</f>
        <v>0</v>
      </c>
      <c r="V35" s="1579">
        <f>M35*'School Info'!$C$22/1000</f>
        <v>0</v>
      </c>
      <c r="W35" s="1579">
        <f>Q35*'School Info'!$E$22/1000</f>
        <v>0</v>
      </c>
      <c r="X35" s="1581">
        <f t="shared" ref="X35" si="126">SUM(V35:W35)</f>
        <v>0</v>
      </c>
      <c r="Y35" s="1532"/>
      <c r="Z35" s="492">
        <f t="shared" si="10"/>
        <v>0</v>
      </c>
      <c r="AA35" s="477" t="s">
        <v>118</v>
      </c>
      <c r="AB35" s="590">
        <f t="shared" si="25"/>
        <v>49.55</v>
      </c>
      <c r="AC35" s="591">
        <f>'MIlk-Data Entry'!AM20</f>
        <v>0</v>
      </c>
      <c r="AD35" s="591">
        <f>'MIlk-Data Entry'!AQ20</f>
        <v>0</v>
      </c>
      <c r="AE35" s="592">
        <f t="shared" si="14"/>
        <v>49.55</v>
      </c>
      <c r="AF35" s="591">
        <f t="shared" ref="AF35" si="127">S35</f>
        <v>0</v>
      </c>
      <c r="AG35" s="593">
        <f t="shared" si="16"/>
        <v>49.55</v>
      </c>
      <c r="AH35" s="590">
        <f t="shared" si="27"/>
        <v>29.748000000000001</v>
      </c>
      <c r="AI35" s="591">
        <f>'MIlk-Data Entry'!AO20</f>
        <v>0</v>
      </c>
      <c r="AJ35" s="591">
        <f>'MIlk-Data Entry'!AS20</f>
        <v>0</v>
      </c>
      <c r="AK35" s="592">
        <f t="shared" si="17"/>
        <v>29.748000000000001</v>
      </c>
      <c r="AL35" s="591">
        <f t="shared" ref="AL35" si="128">V35</f>
        <v>0</v>
      </c>
      <c r="AM35" s="593">
        <f t="shared" si="19"/>
        <v>29.748000000000001</v>
      </c>
      <c r="AN35" s="1569"/>
      <c r="AO35" s="763"/>
      <c r="AP35" s="36">
        <f t="shared" si="110"/>
        <v>29.748000000000001</v>
      </c>
    </row>
    <row r="36" spans="1:42" s="37" customFormat="1" ht="22.5" customHeight="1" thickBot="1">
      <c r="A36" s="776"/>
      <c r="B36" s="1587"/>
      <c r="C36" s="1424"/>
      <c r="D36" s="1425"/>
      <c r="E36" s="1426"/>
      <c r="F36" s="1537"/>
      <c r="G36" s="1538"/>
      <c r="H36" s="1439"/>
      <c r="I36" s="1383"/>
      <c r="J36" s="1383"/>
      <c r="K36" s="1383"/>
      <c r="L36" s="1383"/>
      <c r="M36" s="1382"/>
      <c r="N36" s="1383"/>
      <c r="O36" s="1383"/>
      <c r="P36" s="1383"/>
      <c r="Q36" s="1382"/>
      <c r="R36" s="1382"/>
      <c r="S36" s="1580"/>
      <c r="T36" s="1580"/>
      <c r="U36" s="1582"/>
      <c r="V36" s="1580"/>
      <c r="W36" s="1580"/>
      <c r="X36" s="1582"/>
      <c r="Y36" s="1532"/>
      <c r="Z36" s="493">
        <f t="shared" si="13"/>
        <v>0</v>
      </c>
      <c r="AA36" s="478" t="s">
        <v>119</v>
      </c>
      <c r="AB36" s="594">
        <f t="shared" si="25"/>
        <v>69.760000000000005</v>
      </c>
      <c r="AC36" s="595">
        <f>'MIlk-Data Entry'!AN20</f>
        <v>0</v>
      </c>
      <c r="AD36" s="595">
        <f>'MIlk-Data Entry'!AR20</f>
        <v>0</v>
      </c>
      <c r="AE36" s="596">
        <f t="shared" si="14"/>
        <v>69.760000000000005</v>
      </c>
      <c r="AF36" s="595">
        <f t="shared" ref="AF36" si="129">T35</f>
        <v>0</v>
      </c>
      <c r="AG36" s="597">
        <f t="shared" si="16"/>
        <v>69.760000000000005</v>
      </c>
      <c r="AH36" s="594">
        <f t="shared" si="27"/>
        <v>39.877600000000001</v>
      </c>
      <c r="AI36" s="595">
        <f>'MIlk-Data Entry'!AP20</f>
        <v>0</v>
      </c>
      <c r="AJ36" s="595">
        <f>'MIlk-Data Entry'!AT20</f>
        <v>0</v>
      </c>
      <c r="AK36" s="596">
        <f t="shared" si="17"/>
        <v>39.877600000000001</v>
      </c>
      <c r="AL36" s="595">
        <f t="shared" ref="AL36" si="130">W35</f>
        <v>0</v>
      </c>
      <c r="AM36" s="597">
        <f t="shared" si="19"/>
        <v>39.877600000000001</v>
      </c>
      <c r="AN36" s="1569"/>
      <c r="AO36" s="763"/>
      <c r="AP36" s="36"/>
    </row>
    <row r="37" spans="1:42" s="37" customFormat="1" ht="22.5" customHeight="1">
      <c r="A37" s="776"/>
      <c r="B37" s="1587">
        <f>'MIlk-Data Entry'!K21</f>
        <v>0</v>
      </c>
      <c r="C37" s="1437">
        <f>'MIlk-Data Entry'!L21</f>
        <v>15</v>
      </c>
      <c r="D37" s="1533">
        <f>'MIlk-Data Entry'!M21</f>
        <v>45976</v>
      </c>
      <c r="E37" s="1534"/>
      <c r="F37" s="1420" t="str">
        <f>CONCATENATE('MIlk-Data Entry'!N21," ","(",'MIlk-Data Entry'!O21,")")</f>
        <v>Saturday (खुला)</v>
      </c>
      <c r="G37" s="1421"/>
      <c r="H37" s="1542">
        <f>'MIlk-Data Entry'!AC21</f>
        <v>0</v>
      </c>
      <c r="I37" s="1544">
        <f>'MIlk-Data Entry'!AD21</f>
        <v>0</v>
      </c>
      <c r="J37" s="1544">
        <f>'MIlk-Data Entry'!AE21</f>
        <v>0</v>
      </c>
      <c r="K37" s="1544">
        <f>'MIlk-Data Entry'!AF21</f>
        <v>0</v>
      </c>
      <c r="L37" s="1544">
        <f>'MIlk-Data Entry'!AG21</f>
        <v>0</v>
      </c>
      <c r="M37" s="1546">
        <f t="shared" ref="M37" si="131">SUM(H37:L37)</f>
        <v>0</v>
      </c>
      <c r="N37" s="1544">
        <f>'MIlk-Data Entry'!AI21</f>
        <v>0</v>
      </c>
      <c r="O37" s="1544">
        <f>'MIlk-Data Entry'!AJ21</f>
        <v>0</v>
      </c>
      <c r="P37" s="1544">
        <f>'MIlk-Data Entry'!AK21</f>
        <v>0</v>
      </c>
      <c r="Q37" s="1546">
        <f t="shared" ref="Q37" si="132">SUM(N37:P37)</f>
        <v>0</v>
      </c>
      <c r="R37" s="1546">
        <f t="shared" ref="R37" si="133">M37+Q37</f>
        <v>0</v>
      </c>
      <c r="S37" s="1573">
        <f>M37*'School Info'!$C$21/1000</f>
        <v>0</v>
      </c>
      <c r="T37" s="1573">
        <f>Q37*'School Info'!$E$21/1000</f>
        <v>0</v>
      </c>
      <c r="U37" s="1575">
        <f t="shared" ref="U37" si="134">SUM(S37:T37)</f>
        <v>0</v>
      </c>
      <c r="V37" s="1573">
        <f>M37*'School Info'!$C$22/1000</f>
        <v>0</v>
      </c>
      <c r="W37" s="1573">
        <f>Q37*'School Info'!$E$22/1000</f>
        <v>0</v>
      </c>
      <c r="X37" s="1575">
        <f t="shared" ref="X37" si="135">SUM(V37:W37)</f>
        <v>0</v>
      </c>
      <c r="Y37" s="1397"/>
      <c r="Z37" s="492">
        <f t="shared" si="10"/>
        <v>0</v>
      </c>
      <c r="AA37" s="380" t="s">
        <v>118</v>
      </c>
      <c r="AB37" s="582">
        <f t="shared" si="25"/>
        <v>49.55</v>
      </c>
      <c r="AC37" s="583">
        <f>'MIlk-Data Entry'!AM21</f>
        <v>0</v>
      </c>
      <c r="AD37" s="583">
        <f>'MIlk-Data Entry'!AQ21</f>
        <v>0</v>
      </c>
      <c r="AE37" s="584">
        <f t="shared" si="14"/>
        <v>49.55</v>
      </c>
      <c r="AF37" s="583">
        <f t="shared" ref="AF37" si="136">S37</f>
        <v>0</v>
      </c>
      <c r="AG37" s="585">
        <f t="shared" si="16"/>
        <v>49.55</v>
      </c>
      <c r="AH37" s="582">
        <f t="shared" si="27"/>
        <v>29.748000000000001</v>
      </c>
      <c r="AI37" s="583">
        <f>'MIlk-Data Entry'!AO21</f>
        <v>0</v>
      </c>
      <c r="AJ37" s="583">
        <f>'MIlk-Data Entry'!AS21</f>
        <v>0</v>
      </c>
      <c r="AK37" s="584">
        <f t="shared" si="17"/>
        <v>29.748000000000001</v>
      </c>
      <c r="AL37" s="583">
        <f t="shared" ref="AL37" si="137">V37</f>
        <v>0</v>
      </c>
      <c r="AM37" s="585">
        <f t="shared" si="19"/>
        <v>29.748000000000001</v>
      </c>
      <c r="AN37" s="1567"/>
      <c r="AO37" s="763"/>
      <c r="AP37" s="36">
        <f t="shared" si="110"/>
        <v>29.748000000000001</v>
      </c>
    </row>
    <row r="38" spans="1:42" s="37" customFormat="1" ht="22.5" customHeight="1" thickBot="1">
      <c r="A38" s="776"/>
      <c r="B38" s="1587"/>
      <c r="C38" s="1438"/>
      <c r="D38" s="1535"/>
      <c r="E38" s="1536"/>
      <c r="F38" s="1422"/>
      <c r="G38" s="1423"/>
      <c r="H38" s="1543"/>
      <c r="I38" s="1545"/>
      <c r="J38" s="1545"/>
      <c r="K38" s="1545"/>
      <c r="L38" s="1545"/>
      <c r="M38" s="1547"/>
      <c r="N38" s="1545"/>
      <c r="O38" s="1545"/>
      <c r="P38" s="1545"/>
      <c r="Q38" s="1547"/>
      <c r="R38" s="1547"/>
      <c r="S38" s="1574"/>
      <c r="T38" s="1574"/>
      <c r="U38" s="1576"/>
      <c r="V38" s="1574"/>
      <c r="W38" s="1574"/>
      <c r="X38" s="1576"/>
      <c r="Y38" s="1398"/>
      <c r="Z38" s="493">
        <f t="shared" si="13"/>
        <v>0</v>
      </c>
      <c r="AA38" s="473" t="s">
        <v>119</v>
      </c>
      <c r="AB38" s="586">
        <f t="shared" si="25"/>
        <v>69.760000000000005</v>
      </c>
      <c r="AC38" s="587">
        <f>'MIlk-Data Entry'!AN21</f>
        <v>0</v>
      </c>
      <c r="AD38" s="587">
        <f>'MIlk-Data Entry'!AR21</f>
        <v>0</v>
      </c>
      <c r="AE38" s="588">
        <f t="shared" si="14"/>
        <v>69.760000000000005</v>
      </c>
      <c r="AF38" s="587">
        <f t="shared" ref="AF38" si="138">T37</f>
        <v>0</v>
      </c>
      <c r="AG38" s="589">
        <f t="shared" si="16"/>
        <v>69.760000000000005</v>
      </c>
      <c r="AH38" s="586">
        <f t="shared" si="27"/>
        <v>39.877600000000001</v>
      </c>
      <c r="AI38" s="587">
        <f>'MIlk-Data Entry'!AP21</f>
        <v>0</v>
      </c>
      <c r="AJ38" s="587">
        <f>'MIlk-Data Entry'!AT21</f>
        <v>0</v>
      </c>
      <c r="AK38" s="588">
        <f t="shared" si="17"/>
        <v>39.877600000000001</v>
      </c>
      <c r="AL38" s="587">
        <f t="shared" ref="AL38" si="139">W37</f>
        <v>0</v>
      </c>
      <c r="AM38" s="589">
        <f t="shared" si="19"/>
        <v>39.877600000000001</v>
      </c>
      <c r="AN38" s="1568"/>
      <c r="AO38" s="763"/>
      <c r="AP38" s="36"/>
    </row>
    <row r="39" spans="1:42" s="37" customFormat="1" ht="22.5" customHeight="1">
      <c r="A39" s="776"/>
      <c r="B39" s="1587">
        <f>'MIlk-Data Entry'!K22</f>
        <v>0</v>
      </c>
      <c r="C39" s="1424">
        <f>'MIlk-Data Entry'!L22</f>
        <v>16</v>
      </c>
      <c r="D39" s="1425">
        <f>'MIlk-Data Entry'!M22</f>
        <v>45977</v>
      </c>
      <c r="E39" s="1426"/>
      <c r="F39" s="1537" t="str">
        <f>CONCATENATE('MIlk-Data Entry'!N22," ","(",'MIlk-Data Entry'!O22,")")</f>
        <v>Sunday (रवि॰अव॰)</v>
      </c>
      <c r="G39" s="1538"/>
      <c r="H39" s="1439">
        <f>'MIlk-Data Entry'!AC22</f>
        <v>0</v>
      </c>
      <c r="I39" s="1383">
        <f>'MIlk-Data Entry'!AD22</f>
        <v>0</v>
      </c>
      <c r="J39" s="1383">
        <f>'MIlk-Data Entry'!AE22</f>
        <v>0</v>
      </c>
      <c r="K39" s="1383">
        <f>'MIlk-Data Entry'!AF22</f>
        <v>0</v>
      </c>
      <c r="L39" s="1383">
        <f>'MIlk-Data Entry'!AG22</f>
        <v>0</v>
      </c>
      <c r="M39" s="1382">
        <f t="shared" ref="M39" si="140">SUM(H39:L39)</f>
        <v>0</v>
      </c>
      <c r="N39" s="1383">
        <f>'MIlk-Data Entry'!AI22</f>
        <v>0</v>
      </c>
      <c r="O39" s="1383">
        <f>'MIlk-Data Entry'!AJ22</f>
        <v>0</v>
      </c>
      <c r="P39" s="1383">
        <f>'MIlk-Data Entry'!AK22</f>
        <v>0</v>
      </c>
      <c r="Q39" s="1382">
        <f t="shared" ref="Q39" si="141">SUM(N39:P39)</f>
        <v>0</v>
      </c>
      <c r="R39" s="1382">
        <f t="shared" ref="R39" si="142">M39+Q39</f>
        <v>0</v>
      </c>
      <c r="S39" s="1579">
        <f>M39*'School Info'!$C$21/1000</f>
        <v>0</v>
      </c>
      <c r="T39" s="1579">
        <f>Q39*'School Info'!$E$21/1000</f>
        <v>0</v>
      </c>
      <c r="U39" s="1581">
        <f t="shared" ref="U39" si="143">SUM(S39:T39)</f>
        <v>0</v>
      </c>
      <c r="V39" s="1579">
        <f>M39*'School Info'!$C$22/1000</f>
        <v>0</v>
      </c>
      <c r="W39" s="1579">
        <f>Q39*'School Info'!$E$22/1000</f>
        <v>0</v>
      </c>
      <c r="X39" s="1581">
        <f t="shared" ref="X39" si="144">SUM(V39:W39)</f>
        <v>0</v>
      </c>
      <c r="Y39" s="1532"/>
      <c r="Z39" s="492">
        <f t="shared" si="10"/>
        <v>0</v>
      </c>
      <c r="AA39" s="477" t="s">
        <v>118</v>
      </c>
      <c r="AB39" s="590">
        <f t="shared" si="25"/>
        <v>49.55</v>
      </c>
      <c r="AC39" s="591">
        <f>'MIlk-Data Entry'!AM22</f>
        <v>0</v>
      </c>
      <c r="AD39" s="591">
        <f>'MIlk-Data Entry'!AQ22</f>
        <v>0</v>
      </c>
      <c r="AE39" s="592">
        <f t="shared" si="14"/>
        <v>49.55</v>
      </c>
      <c r="AF39" s="591">
        <f t="shared" ref="AF39" si="145">S39</f>
        <v>0</v>
      </c>
      <c r="AG39" s="593">
        <f t="shared" si="16"/>
        <v>49.55</v>
      </c>
      <c r="AH39" s="590">
        <f t="shared" si="27"/>
        <v>29.748000000000001</v>
      </c>
      <c r="AI39" s="591">
        <f>'MIlk-Data Entry'!AO22</f>
        <v>0</v>
      </c>
      <c r="AJ39" s="591">
        <f>'MIlk-Data Entry'!AS22</f>
        <v>0</v>
      </c>
      <c r="AK39" s="592">
        <f t="shared" si="17"/>
        <v>29.748000000000001</v>
      </c>
      <c r="AL39" s="591">
        <f t="shared" ref="AL39" si="146">V39</f>
        <v>0</v>
      </c>
      <c r="AM39" s="593">
        <f t="shared" si="19"/>
        <v>29.748000000000001</v>
      </c>
      <c r="AN39" s="1569"/>
      <c r="AO39" s="763"/>
      <c r="AP39" s="36">
        <f t="shared" si="110"/>
        <v>29.748000000000001</v>
      </c>
    </row>
    <row r="40" spans="1:42" s="37" customFormat="1" ht="22.5" customHeight="1" thickBot="1">
      <c r="A40" s="776"/>
      <c r="B40" s="1587"/>
      <c r="C40" s="1424"/>
      <c r="D40" s="1425"/>
      <c r="E40" s="1426"/>
      <c r="F40" s="1537"/>
      <c r="G40" s="1538"/>
      <c r="H40" s="1439"/>
      <c r="I40" s="1383"/>
      <c r="J40" s="1383"/>
      <c r="K40" s="1383"/>
      <c r="L40" s="1383"/>
      <c r="M40" s="1382"/>
      <c r="N40" s="1383"/>
      <c r="O40" s="1383"/>
      <c r="P40" s="1383"/>
      <c r="Q40" s="1382"/>
      <c r="R40" s="1382"/>
      <c r="S40" s="1580"/>
      <c r="T40" s="1580"/>
      <c r="U40" s="1582"/>
      <c r="V40" s="1580"/>
      <c r="W40" s="1580"/>
      <c r="X40" s="1582"/>
      <c r="Y40" s="1532"/>
      <c r="Z40" s="493">
        <f t="shared" si="13"/>
        <v>0</v>
      </c>
      <c r="AA40" s="478" t="s">
        <v>119</v>
      </c>
      <c r="AB40" s="594">
        <f t="shared" si="25"/>
        <v>69.760000000000005</v>
      </c>
      <c r="AC40" s="595">
        <f>'MIlk-Data Entry'!AN22</f>
        <v>0</v>
      </c>
      <c r="AD40" s="595">
        <f>'MIlk-Data Entry'!AR22</f>
        <v>0</v>
      </c>
      <c r="AE40" s="596">
        <f t="shared" si="14"/>
        <v>69.760000000000005</v>
      </c>
      <c r="AF40" s="595">
        <f t="shared" ref="AF40" si="147">T39</f>
        <v>0</v>
      </c>
      <c r="AG40" s="597">
        <f t="shared" si="16"/>
        <v>69.760000000000005</v>
      </c>
      <c r="AH40" s="594">
        <f t="shared" si="27"/>
        <v>39.877600000000001</v>
      </c>
      <c r="AI40" s="595">
        <f>'MIlk-Data Entry'!AP22</f>
        <v>0</v>
      </c>
      <c r="AJ40" s="595">
        <f>'MIlk-Data Entry'!AT22</f>
        <v>0</v>
      </c>
      <c r="AK40" s="596">
        <f t="shared" si="17"/>
        <v>39.877600000000001</v>
      </c>
      <c r="AL40" s="595">
        <f t="shared" ref="AL40" si="148">W39</f>
        <v>0</v>
      </c>
      <c r="AM40" s="597">
        <f t="shared" si="19"/>
        <v>39.877600000000001</v>
      </c>
      <c r="AN40" s="1569"/>
      <c r="AO40" s="763"/>
      <c r="AP40" s="36"/>
    </row>
    <row r="41" spans="1:42" s="37" customFormat="1" ht="22.5" customHeight="1">
      <c r="A41" s="776"/>
      <c r="B41" s="1587">
        <f>'MIlk-Data Entry'!K23</f>
        <v>0</v>
      </c>
      <c r="C41" s="1437">
        <f>'MIlk-Data Entry'!L23</f>
        <v>17</v>
      </c>
      <c r="D41" s="1533">
        <f>'MIlk-Data Entry'!M23</f>
        <v>45978</v>
      </c>
      <c r="E41" s="1534"/>
      <c r="F41" s="1420" t="str">
        <f>CONCATENATE('MIlk-Data Entry'!N23," ","(",'MIlk-Data Entry'!O23,")")</f>
        <v>Monday (खुला)</v>
      </c>
      <c r="G41" s="1421"/>
      <c r="H41" s="1542">
        <f>'MIlk-Data Entry'!AC23</f>
        <v>0</v>
      </c>
      <c r="I41" s="1544">
        <f>'MIlk-Data Entry'!AD23</f>
        <v>0</v>
      </c>
      <c r="J41" s="1544">
        <f>'MIlk-Data Entry'!AE23</f>
        <v>0</v>
      </c>
      <c r="K41" s="1544">
        <f>'MIlk-Data Entry'!AF23</f>
        <v>0</v>
      </c>
      <c r="L41" s="1544">
        <f>'MIlk-Data Entry'!AG23</f>
        <v>0</v>
      </c>
      <c r="M41" s="1546">
        <f t="shared" ref="M41" si="149">SUM(H41:L41)</f>
        <v>0</v>
      </c>
      <c r="N41" s="1544">
        <f>'MIlk-Data Entry'!AI23</f>
        <v>0</v>
      </c>
      <c r="O41" s="1544">
        <f>'MIlk-Data Entry'!AJ23</f>
        <v>0</v>
      </c>
      <c r="P41" s="1544">
        <f>'MIlk-Data Entry'!AK23</f>
        <v>0</v>
      </c>
      <c r="Q41" s="1546">
        <f t="shared" ref="Q41" si="150">SUM(N41:P41)</f>
        <v>0</v>
      </c>
      <c r="R41" s="1546">
        <f t="shared" ref="R41" si="151">M41+Q41</f>
        <v>0</v>
      </c>
      <c r="S41" s="1573">
        <f>M41*'School Info'!$C$21/1000</f>
        <v>0</v>
      </c>
      <c r="T41" s="1573">
        <f>Q41*'School Info'!$E$21/1000</f>
        <v>0</v>
      </c>
      <c r="U41" s="1575">
        <f t="shared" ref="U41" si="152">SUM(S41:T41)</f>
        <v>0</v>
      </c>
      <c r="V41" s="1573">
        <f>M41*'School Info'!$C$22/1000</f>
        <v>0</v>
      </c>
      <c r="W41" s="1573">
        <f>Q41*'School Info'!$E$22/1000</f>
        <v>0</v>
      </c>
      <c r="X41" s="1575">
        <f t="shared" ref="X41" si="153">SUM(V41:W41)</f>
        <v>0</v>
      </c>
      <c r="Y41" s="1397"/>
      <c r="Z41" s="492">
        <f t="shared" si="10"/>
        <v>0</v>
      </c>
      <c r="AA41" s="380" t="s">
        <v>118</v>
      </c>
      <c r="AB41" s="582">
        <f t="shared" si="25"/>
        <v>49.55</v>
      </c>
      <c r="AC41" s="583">
        <f>'MIlk-Data Entry'!AM23</f>
        <v>0</v>
      </c>
      <c r="AD41" s="583">
        <f>'MIlk-Data Entry'!AQ23</f>
        <v>0</v>
      </c>
      <c r="AE41" s="584">
        <f t="shared" si="14"/>
        <v>49.55</v>
      </c>
      <c r="AF41" s="583">
        <f t="shared" ref="AF41" si="154">S41</f>
        <v>0</v>
      </c>
      <c r="AG41" s="585">
        <f t="shared" si="16"/>
        <v>49.55</v>
      </c>
      <c r="AH41" s="582">
        <f t="shared" si="27"/>
        <v>29.748000000000001</v>
      </c>
      <c r="AI41" s="583">
        <f>'MIlk-Data Entry'!AO23</f>
        <v>0</v>
      </c>
      <c r="AJ41" s="583">
        <f>'MIlk-Data Entry'!AS23</f>
        <v>0</v>
      </c>
      <c r="AK41" s="584">
        <f t="shared" si="17"/>
        <v>29.748000000000001</v>
      </c>
      <c r="AL41" s="583">
        <f t="shared" ref="AL41" si="155">V41</f>
        <v>0</v>
      </c>
      <c r="AM41" s="585">
        <f t="shared" si="19"/>
        <v>29.748000000000001</v>
      </c>
      <c r="AN41" s="1567"/>
      <c r="AO41" s="763"/>
      <c r="AP41" s="36">
        <f t="shared" si="110"/>
        <v>29.748000000000001</v>
      </c>
    </row>
    <row r="42" spans="1:42" s="37" customFormat="1" ht="22.5" customHeight="1" thickBot="1">
      <c r="A42" s="776"/>
      <c r="B42" s="1587"/>
      <c r="C42" s="1438"/>
      <c r="D42" s="1535"/>
      <c r="E42" s="1536"/>
      <c r="F42" s="1422"/>
      <c r="G42" s="1423"/>
      <c r="H42" s="1543"/>
      <c r="I42" s="1545"/>
      <c r="J42" s="1545"/>
      <c r="K42" s="1545"/>
      <c r="L42" s="1545"/>
      <c r="M42" s="1547"/>
      <c r="N42" s="1545"/>
      <c r="O42" s="1545"/>
      <c r="P42" s="1545"/>
      <c r="Q42" s="1547"/>
      <c r="R42" s="1547"/>
      <c r="S42" s="1574"/>
      <c r="T42" s="1574"/>
      <c r="U42" s="1576"/>
      <c r="V42" s="1574"/>
      <c r="W42" s="1574"/>
      <c r="X42" s="1576"/>
      <c r="Y42" s="1398"/>
      <c r="Z42" s="493">
        <f t="shared" si="13"/>
        <v>0</v>
      </c>
      <c r="AA42" s="473" t="s">
        <v>119</v>
      </c>
      <c r="AB42" s="586">
        <f t="shared" si="25"/>
        <v>69.760000000000005</v>
      </c>
      <c r="AC42" s="587">
        <f>'MIlk-Data Entry'!AN23</f>
        <v>0</v>
      </c>
      <c r="AD42" s="587">
        <f>'MIlk-Data Entry'!AR23</f>
        <v>0</v>
      </c>
      <c r="AE42" s="588">
        <f t="shared" si="14"/>
        <v>69.760000000000005</v>
      </c>
      <c r="AF42" s="587">
        <f t="shared" ref="AF42" si="156">T41</f>
        <v>0</v>
      </c>
      <c r="AG42" s="589">
        <f t="shared" si="16"/>
        <v>69.760000000000005</v>
      </c>
      <c r="AH42" s="586">
        <f t="shared" si="27"/>
        <v>39.877600000000001</v>
      </c>
      <c r="AI42" s="587">
        <f>'MIlk-Data Entry'!AP23</f>
        <v>0</v>
      </c>
      <c r="AJ42" s="587">
        <f>'MIlk-Data Entry'!AT23</f>
        <v>0</v>
      </c>
      <c r="AK42" s="588">
        <f t="shared" si="17"/>
        <v>39.877600000000001</v>
      </c>
      <c r="AL42" s="587">
        <f t="shared" ref="AL42" si="157">W41</f>
        <v>0</v>
      </c>
      <c r="AM42" s="589">
        <f t="shared" si="19"/>
        <v>39.877600000000001</v>
      </c>
      <c r="AN42" s="1568"/>
      <c r="AO42" s="763"/>
      <c r="AP42" s="36"/>
    </row>
    <row r="43" spans="1:42" s="37" customFormat="1" ht="22.5" customHeight="1">
      <c r="A43" s="776"/>
      <c r="B43" s="1587">
        <f>'MIlk-Data Entry'!K24</f>
        <v>0</v>
      </c>
      <c r="C43" s="1424">
        <f>'MIlk-Data Entry'!L24</f>
        <v>18</v>
      </c>
      <c r="D43" s="1425">
        <f>'MIlk-Data Entry'!M24</f>
        <v>45979</v>
      </c>
      <c r="E43" s="1426"/>
      <c r="F43" s="1537" t="str">
        <f>CONCATENATE('MIlk-Data Entry'!N24," ","(",'MIlk-Data Entry'!O24,")")</f>
        <v>Tuesday (खुला)</v>
      </c>
      <c r="G43" s="1538"/>
      <c r="H43" s="1439">
        <f>'MIlk-Data Entry'!AC24</f>
        <v>0</v>
      </c>
      <c r="I43" s="1383">
        <f>'MIlk-Data Entry'!AD24</f>
        <v>0</v>
      </c>
      <c r="J43" s="1383">
        <f>'MIlk-Data Entry'!AE24</f>
        <v>0</v>
      </c>
      <c r="K43" s="1383">
        <f>'MIlk-Data Entry'!AF24</f>
        <v>0</v>
      </c>
      <c r="L43" s="1383">
        <f>'MIlk-Data Entry'!AG24</f>
        <v>0</v>
      </c>
      <c r="M43" s="1382">
        <f t="shared" ref="M43" si="158">SUM(H43:L43)</f>
        <v>0</v>
      </c>
      <c r="N43" s="1383">
        <f>'MIlk-Data Entry'!AI24</f>
        <v>0</v>
      </c>
      <c r="O43" s="1383">
        <f>'MIlk-Data Entry'!AJ24</f>
        <v>0</v>
      </c>
      <c r="P43" s="1383">
        <f>'MIlk-Data Entry'!AK24</f>
        <v>0</v>
      </c>
      <c r="Q43" s="1382">
        <f t="shared" ref="Q43" si="159">SUM(N43:P43)</f>
        <v>0</v>
      </c>
      <c r="R43" s="1382">
        <f t="shared" ref="R43" si="160">M43+Q43</f>
        <v>0</v>
      </c>
      <c r="S43" s="1579">
        <f>M43*'School Info'!$C$21/1000</f>
        <v>0</v>
      </c>
      <c r="T43" s="1579">
        <f>Q43*'School Info'!$E$21/1000</f>
        <v>0</v>
      </c>
      <c r="U43" s="1581">
        <f t="shared" ref="U43" si="161">SUM(S43:T43)</f>
        <v>0</v>
      </c>
      <c r="V43" s="1579">
        <f>M43*'School Info'!$C$22/1000</f>
        <v>0</v>
      </c>
      <c r="W43" s="1579">
        <f>Q43*'School Info'!$E$22/1000</f>
        <v>0</v>
      </c>
      <c r="X43" s="1581">
        <f t="shared" ref="X43" si="162">SUM(V43:W43)</f>
        <v>0</v>
      </c>
      <c r="Y43" s="1532"/>
      <c r="Z43" s="492">
        <f t="shared" si="10"/>
        <v>0</v>
      </c>
      <c r="AA43" s="477" t="s">
        <v>118</v>
      </c>
      <c r="AB43" s="590">
        <f t="shared" si="25"/>
        <v>49.55</v>
      </c>
      <c r="AC43" s="591">
        <f>'MIlk-Data Entry'!AM24</f>
        <v>0</v>
      </c>
      <c r="AD43" s="591">
        <f>'MIlk-Data Entry'!AQ24</f>
        <v>0</v>
      </c>
      <c r="AE43" s="592">
        <f t="shared" si="14"/>
        <v>49.55</v>
      </c>
      <c r="AF43" s="591">
        <f t="shared" ref="AF43" si="163">S43</f>
        <v>0</v>
      </c>
      <c r="AG43" s="593">
        <f t="shared" si="16"/>
        <v>49.55</v>
      </c>
      <c r="AH43" s="590">
        <f t="shared" si="27"/>
        <v>29.748000000000001</v>
      </c>
      <c r="AI43" s="591">
        <f>'MIlk-Data Entry'!AO24</f>
        <v>0</v>
      </c>
      <c r="AJ43" s="591">
        <f>'MIlk-Data Entry'!AS24</f>
        <v>0</v>
      </c>
      <c r="AK43" s="592">
        <f t="shared" si="17"/>
        <v>29.748000000000001</v>
      </c>
      <c r="AL43" s="591">
        <f t="shared" ref="AL43" si="164">V43</f>
        <v>0</v>
      </c>
      <c r="AM43" s="593">
        <f t="shared" si="19"/>
        <v>29.748000000000001</v>
      </c>
      <c r="AN43" s="1569"/>
      <c r="AO43" s="763"/>
      <c r="AP43" s="36">
        <f t="shared" si="110"/>
        <v>29.748000000000001</v>
      </c>
    </row>
    <row r="44" spans="1:42" s="37" customFormat="1" ht="22.5" customHeight="1" thickBot="1">
      <c r="A44" s="776"/>
      <c r="B44" s="1587"/>
      <c r="C44" s="1424"/>
      <c r="D44" s="1425"/>
      <c r="E44" s="1426"/>
      <c r="F44" s="1537"/>
      <c r="G44" s="1538"/>
      <c r="H44" s="1439"/>
      <c r="I44" s="1383"/>
      <c r="J44" s="1383"/>
      <c r="K44" s="1383"/>
      <c r="L44" s="1383"/>
      <c r="M44" s="1382"/>
      <c r="N44" s="1383"/>
      <c r="O44" s="1383"/>
      <c r="P44" s="1383"/>
      <c r="Q44" s="1382"/>
      <c r="R44" s="1382"/>
      <c r="S44" s="1580"/>
      <c r="T44" s="1580"/>
      <c r="U44" s="1582"/>
      <c r="V44" s="1580"/>
      <c r="W44" s="1580"/>
      <c r="X44" s="1582"/>
      <c r="Y44" s="1532"/>
      <c r="Z44" s="493">
        <f t="shared" si="13"/>
        <v>0</v>
      </c>
      <c r="AA44" s="478" t="s">
        <v>119</v>
      </c>
      <c r="AB44" s="594">
        <f t="shared" si="25"/>
        <v>69.760000000000005</v>
      </c>
      <c r="AC44" s="595">
        <f>'MIlk-Data Entry'!AN24</f>
        <v>0</v>
      </c>
      <c r="AD44" s="595">
        <f>'MIlk-Data Entry'!AR24</f>
        <v>0</v>
      </c>
      <c r="AE44" s="596">
        <f t="shared" si="14"/>
        <v>69.760000000000005</v>
      </c>
      <c r="AF44" s="595">
        <f t="shared" ref="AF44" si="165">T43</f>
        <v>0</v>
      </c>
      <c r="AG44" s="597">
        <f t="shared" si="16"/>
        <v>69.760000000000005</v>
      </c>
      <c r="AH44" s="594">
        <f t="shared" si="27"/>
        <v>39.877600000000001</v>
      </c>
      <c r="AI44" s="595">
        <f>'MIlk-Data Entry'!AP24</f>
        <v>0</v>
      </c>
      <c r="AJ44" s="595">
        <f>'MIlk-Data Entry'!AT24</f>
        <v>0</v>
      </c>
      <c r="AK44" s="596">
        <f t="shared" si="17"/>
        <v>39.877600000000001</v>
      </c>
      <c r="AL44" s="595">
        <f t="shared" ref="AL44" si="166">W43</f>
        <v>0</v>
      </c>
      <c r="AM44" s="597">
        <f t="shared" si="19"/>
        <v>39.877600000000001</v>
      </c>
      <c r="AN44" s="1569"/>
      <c r="AO44" s="763"/>
      <c r="AP44" s="36"/>
    </row>
    <row r="45" spans="1:42" s="37" customFormat="1" ht="22.5" customHeight="1">
      <c r="A45" s="776"/>
      <c r="B45" s="1587">
        <f>'MIlk-Data Entry'!K25</f>
        <v>0</v>
      </c>
      <c r="C45" s="1437">
        <f>'MIlk-Data Entry'!L25</f>
        <v>19</v>
      </c>
      <c r="D45" s="1533">
        <f>'MIlk-Data Entry'!M25</f>
        <v>45980</v>
      </c>
      <c r="E45" s="1534"/>
      <c r="F45" s="1420" t="str">
        <f>CONCATENATE('MIlk-Data Entry'!N25," ","(",'MIlk-Data Entry'!O25,")")</f>
        <v>Wednesday (खुला)</v>
      </c>
      <c r="G45" s="1421"/>
      <c r="H45" s="1542">
        <f>'MIlk-Data Entry'!AC25</f>
        <v>0</v>
      </c>
      <c r="I45" s="1544">
        <f>'MIlk-Data Entry'!AD25</f>
        <v>0</v>
      </c>
      <c r="J45" s="1544">
        <f>'MIlk-Data Entry'!AE25</f>
        <v>0</v>
      </c>
      <c r="K45" s="1544">
        <f>'MIlk-Data Entry'!AF25</f>
        <v>0</v>
      </c>
      <c r="L45" s="1544">
        <f>'MIlk-Data Entry'!AG25</f>
        <v>0</v>
      </c>
      <c r="M45" s="1546">
        <f t="shared" ref="M45" si="167">SUM(H45:L45)</f>
        <v>0</v>
      </c>
      <c r="N45" s="1544">
        <f>'MIlk-Data Entry'!AI25</f>
        <v>0</v>
      </c>
      <c r="O45" s="1544">
        <f>'MIlk-Data Entry'!AJ25</f>
        <v>0</v>
      </c>
      <c r="P45" s="1544">
        <f>'MIlk-Data Entry'!AK25</f>
        <v>0</v>
      </c>
      <c r="Q45" s="1546">
        <f t="shared" ref="Q45" si="168">SUM(N45:P45)</f>
        <v>0</v>
      </c>
      <c r="R45" s="1546">
        <f t="shared" ref="R45" si="169">M45+Q45</f>
        <v>0</v>
      </c>
      <c r="S45" s="1573">
        <f>M45*'School Info'!$C$21/1000</f>
        <v>0</v>
      </c>
      <c r="T45" s="1573">
        <f>Q45*'School Info'!$E$21/1000</f>
        <v>0</v>
      </c>
      <c r="U45" s="1575">
        <f t="shared" ref="U45" si="170">SUM(S45:T45)</f>
        <v>0</v>
      </c>
      <c r="V45" s="1573">
        <f>M45*'School Info'!$C$22/1000</f>
        <v>0</v>
      </c>
      <c r="W45" s="1573">
        <f>Q45*'School Info'!$E$22/1000</f>
        <v>0</v>
      </c>
      <c r="X45" s="1575">
        <f t="shared" ref="X45" si="171">SUM(V45:W45)</f>
        <v>0</v>
      </c>
      <c r="Y45" s="1397"/>
      <c r="Z45" s="492">
        <f t="shared" si="10"/>
        <v>0</v>
      </c>
      <c r="AA45" s="380" t="s">
        <v>118</v>
      </c>
      <c r="AB45" s="582">
        <f t="shared" si="25"/>
        <v>49.55</v>
      </c>
      <c r="AC45" s="583">
        <f>'MIlk-Data Entry'!AM25</f>
        <v>0</v>
      </c>
      <c r="AD45" s="583">
        <f>'MIlk-Data Entry'!AQ25</f>
        <v>0</v>
      </c>
      <c r="AE45" s="584">
        <f t="shared" si="14"/>
        <v>49.55</v>
      </c>
      <c r="AF45" s="583">
        <f t="shared" ref="AF45" si="172">S45</f>
        <v>0</v>
      </c>
      <c r="AG45" s="585">
        <f t="shared" si="16"/>
        <v>49.55</v>
      </c>
      <c r="AH45" s="582">
        <f t="shared" si="27"/>
        <v>29.748000000000001</v>
      </c>
      <c r="AI45" s="583">
        <f>'MIlk-Data Entry'!AO25</f>
        <v>0</v>
      </c>
      <c r="AJ45" s="583">
        <f>'MIlk-Data Entry'!AS25</f>
        <v>0</v>
      </c>
      <c r="AK45" s="584">
        <f t="shared" si="17"/>
        <v>29.748000000000001</v>
      </c>
      <c r="AL45" s="583">
        <f t="shared" ref="AL45" si="173">V45</f>
        <v>0</v>
      </c>
      <c r="AM45" s="585">
        <f t="shared" si="19"/>
        <v>29.748000000000001</v>
      </c>
      <c r="AN45" s="1567"/>
      <c r="AO45" s="763"/>
      <c r="AP45" s="36">
        <f t="shared" si="110"/>
        <v>29.748000000000001</v>
      </c>
    </row>
    <row r="46" spans="1:42" s="37" customFormat="1" ht="22.5" customHeight="1" thickBot="1">
      <c r="A46" s="776"/>
      <c r="B46" s="1587"/>
      <c r="C46" s="1438"/>
      <c r="D46" s="1535"/>
      <c r="E46" s="1536"/>
      <c r="F46" s="1422"/>
      <c r="G46" s="1423"/>
      <c r="H46" s="1543"/>
      <c r="I46" s="1545"/>
      <c r="J46" s="1545"/>
      <c r="K46" s="1545"/>
      <c r="L46" s="1545"/>
      <c r="M46" s="1547"/>
      <c r="N46" s="1545"/>
      <c r="O46" s="1545"/>
      <c r="P46" s="1545"/>
      <c r="Q46" s="1547"/>
      <c r="R46" s="1547"/>
      <c r="S46" s="1574"/>
      <c r="T46" s="1574"/>
      <c r="U46" s="1576"/>
      <c r="V46" s="1574"/>
      <c r="W46" s="1574"/>
      <c r="X46" s="1576"/>
      <c r="Y46" s="1398"/>
      <c r="Z46" s="493">
        <f t="shared" si="13"/>
        <v>0</v>
      </c>
      <c r="AA46" s="473" t="s">
        <v>119</v>
      </c>
      <c r="AB46" s="586">
        <f t="shared" si="25"/>
        <v>69.760000000000005</v>
      </c>
      <c r="AC46" s="587">
        <f>'MIlk-Data Entry'!AN25</f>
        <v>0</v>
      </c>
      <c r="AD46" s="587">
        <f>'MIlk-Data Entry'!AR25</f>
        <v>0</v>
      </c>
      <c r="AE46" s="588">
        <f t="shared" si="14"/>
        <v>69.760000000000005</v>
      </c>
      <c r="AF46" s="587">
        <f t="shared" ref="AF46" si="174">T45</f>
        <v>0</v>
      </c>
      <c r="AG46" s="589">
        <f t="shared" si="16"/>
        <v>69.760000000000005</v>
      </c>
      <c r="AH46" s="586">
        <f t="shared" si="27"/>
        <v>39.877600000000001</v>
      </c>
      <c r="AI46" s="587">
        <f>'MIlk-Data Entry'!AP25</f>
        <v>0</v>
      </c>
      <c r="AJ46" s="587">
        <f>'MIlk-Data Entry'!AT25</f>
        <v>0</v>
      </c>
      <c r="AK46" s="588">
        <f t="shared" si="17"/>
        <v>39.877600000000001</v>
      </c>
      <c r="AL46" s="587">
        <f t="shared" ref="AL46" si="175">W45</f>
        <v>0</v>
      </c>
      <c r="AM46" s="589">
        <f t="shared" si="19"/>
        <v>39.877600000000001</v>
      </c>
      <c r="AN46" s="1568"/>
      <c r="AO46" s="763"/>
      <c r="AP46" s="36"/>
    </row>
    <row r="47" spans="1:42" s="37" customFormat="1" ht="22.5" customHeight="1">
      <c r="A47" s="776"/>
      <c r="B47" s="1587">
        <f>'MIlk-Data Entry'!K26</f>
        <v>0</v>
      </c>
      <c r="C47" s="1424">
        <f>'MIlk-Data Entry'!L26</f>
        <v>20</v>
      </c>
      <c r="D47" s="1425">
        <f>'MIlk-Data Entry'!M26</f>
        <v>45981</v>
      </c>
      <c r="E47" s="1426"/>
      <c r="F47" s="1537" t="str">
        <f>CONCATENATE('MIlk-Data Entry'!N26," ","(",'MIlk-Data Entry'!O26,")")</f>
        <v>Thursday (खुला)</v>
      </c>
      <c r="G47" s="1538"/>
      <c r="H47" s="1439">
        <f>'MIlk-Data Entry'!AC26</f>
        <v>0</v>
      </c>
      <c r="I47" s="1383">
        <f>'MIlk-Data Entry'!AD26</f>
        <v>0</v>
      </c>
      <c r="J47" s="1383">
        <f>'MIlk-Data Entry'!AE26</f>
        <v>0</v>
      </c>
      <c r="K47" s="1383">
        <f>'MIlk-Data Entry'!AF26</f>
        <v>0</v>
      </c>
      <c r="L47" s="1383">
        <f>'MIlk-Data Entry'!AG26</f>
        <v>0</v>
      </c>
      <c r="M47" s="1382">
        <f t="shared" ref="M47" si="176">SUM(H47:L47)</f>
        <v>0</v>
      </c>
      <c r="N47" s="1383">
        <f>'MIlk-Data Entry'!AI26</f>
        <v>0</v>
      </c>
      <c r="O47" s="1383">
        <f>'MIlk-Data Entry'!AJ26</f>
        <v>0</v>
      </c>
      <c r="P47" s="1383">
        <f>'MIlk-Data Entry'!AK26</f>
        <v>0</v>
      </c>
      <c r="Q47" s="1382">
        <f t="shared" ref="Q47" si="177">SUM(N47:P47)</f>
        <v>0</v>
      </c>
      <c r="R47" s="1382">
        <f t="shared" ref="R47" si="178">M47+Q47</f>
        <v>0</v>
      </c>
      <c r="S47" s="1579">
        <f>M47*'School Info'!$C$21/1000</f>
        <v>0</v>
      </c>
      <c r="T47" s="1579">
        <f>Q47*'School Info'!$E$21/1000</f>
        <v>0</v>
      </c>
      <c r="U47" s="1581">
        <f t="shared" ref="U47" si="179">SUM(S47:T47)</f>
        <v>0</v>
      </c>
      <c r="V47" s="1579">
        <f>M47*'School Info'!$C$22/1000</f>
        <v>0</v>
      </c>
      <c r="W47" s="1579">
        <f>Q47*'School Info'!$E$22/1000</f>
        <v>0</v>
      </c>
      <c r="X47" s="1581">
        <f t="shared" ref="X47" si="180">SUM(V47:W47)</f>
        <v>0</v>
      </c>
      <c r="Y47" s="1532"/>
      <c r="Z47" s="492">
        <f t="shared" si="10"/>
        <v>0</v>
      </c>
      <c r="AA47" s="477" t="s">
        <v>118</v>
      </c>
      <c r="AB47" s="590">
        <f t="shared" si="25"/>
        <v>49.55</v>
      </c>
      <c r="AC47" s="591">
        <f>'MIlk-Data Entry'!AM26</f>
        <v>0</v>
      </c>
      <c r="AD47" s="591">
        <f>'MIlk-Data Entry'!AQ26</f>
        <v>0</v>
      </c>
      <c r="AE47" s="592">
        <f t="shared" si="14"/>
        <v>49.55</v>
      </c>
      <c r="AF47" s="591">
        <f t="shared" ref="AF47" si="181">S47</f>
        <v>0</v>
      </c>
      <c r="AG47" s="593">
        <f t="shared" si="16"/>
        <v>49.55</v>
      </c>
      <c r="AH47" s="590">
        <f t="shared" si="27"/>
        <v>29.748000000000001</v>
      </c>
      <c r="AI47" s="591">
        <f>'MIlk-Data Entry'!AO26</f>
        <v>0</v>
      </c>
      <c r="AJ47" s="591">
        <f>'MIlk-Data Entry'!AS26</f>
        <v>0</v>
      </c>
      <c r="AK47" s="592">
        <f t="shared" si="17"/>
        <v>29.748000000000001</v>
      </c>
      <c r="AL47" s="591">
        <f t="shared" ref="AL47" si="182">V47</f>
        <v>0</v>
      </c>
      <c r="AM47" s="593">
        <f t="shared" si="19"/>
        <v>29.748000000000001</v>
      </c>
      <c r="AN47" s="1569"/>
      <c r="AO47" s="763"/>
      <c r="AP47" s="36">
        <f t="shared" si="110"/>
        <v>29.748000000000001</v>
      </c>
    </row>
    <row r="48" spans="1:42" s="37" customFormat="1" ht="22.5" customHeight="1" thickBot="1">
      <c r="A48" s="776"/>
      <c r="B48" s="1587"/>
      <c r="C48" s="1424"/>
      <c r="D48" s="1425"/>
      <c r="E48" s="1426"/>
      <c r="F48" s="1537"/>
      <c r="G48" s="1538"/>
      <c r="H48" s="1439"/>
      <c r="I48" s="1383"/>
      <c r="J48" s="1383"/>
      <c r="K48" s="1383"/>
      <c r="L48" s="1383"/>
      <c r="M48" s="1382"/>
      <c r="N48" s="1383"/>
      <c r="O48" s="1383"/>
      <c r="P48" s="1383"/>
      <c r="Q48" s="1382"/>
      <c r="R48" s="1382"/>
      <c r="S48" s="1580"/>
      <c r="T48" s="1580"/>
      <c r="U48" s="1582"/>
      <c r="V48" s="1580"/>
      <c r="W48" s="1580"/>
      <c r="X48" s="1582"/>
      <c r="Y48" s="1532"/>
      <c r="Z48" s="493">
        <f t="shared" si="13"/>
        <v>0</v>
      </c>
      <c r="AA48" s="478" t="s">
        <v>119</v>
      </c>
      <c r="AB48" s="594">
        <f t="shared" si="25"/>
        <v>69.760000000000005</v>
      </c>
      <c r="AC48" s="595">
        <f>'MIlk-Data Entry'!AN26</f>
        <v>0</v>
      </c>
      <c r="AD48" s="595">
        <f>'MIlk-Data Entry'!AR26</f>
        <v>0</v>
      </c>
      <c r="AE48" s="596">
        <f t="shared" si="14"/>
        <v>69.760000000000005</v>
      </c>
      <c r="AF48" s="595">
        <f t="shared" ref="AF48" si="183">T47</f>
        <v>0</v>
      </c>
      <c r="AG48" s="597">
        <f t="shared" si="16"/>
        <v>69.760000000000005</v>
      </c>
      <c r="AH48" s="594">
        <f t="shared" si="27"/>
        <v>39.877600000000001</v>
      </c>
      <c r="AI48" s="595">
        <f>'MIlk-Data Entry'!AP26</f>
        <v>0</v>
      </c>
      <c r="AJ48" s="595">
        <f>'MIlk-Data Entry'!AT26</f>
        <v>0</v>
      </c>
      <c r="AK48" s="596">
        <f t="shared" si="17"/>
        <v>39.877600000000001</v>
      </c>
      <c r="AL48" s="595">
        <f t="shared" ref="AL48" si="184">W47</f>
        <v>0</v>
      </c>
      <c r="AM48" s="597">
        <f t="shared" si="19"/>
        <v>39.877600000000001</v>
      </c>
      <c r="AN48" s="1569"/>
      <c r="AO48" s="763"/>
      <c r="AP48" s="36"/>
    </row>
    <row r="49" spans="1:42" s="37" customFormat="1" ht="22.5" customHeight="1">
      <c r="A49" s="776"/>
      <c r="B49" s="1587">
        <f>'MIlk-Data Entry'!K27</f>
        <v>0</v>
      </c>
      <c r="C49" s="1437">
        <f>'MIlk-Data Entry'!L27</f>
        <v>21</v>
      </c>
      <c r="D49" s="1533">
        <f>'MIlk-Data Entry'!M27</f>
        <v>45982</v>
      </c>
      <c r="E49" s="1534"/>
      <c r="F49" s="1420" t="str">
        <f>CONCATENATE('MIlk-Data Entry'!N27," ","(",'MIlk-Data Entry'!O27,")")</f>
        <v>Friday (खुला)</v>
      </c>
      <c r="G49" s="1421"/>
      <c r="H49" s="1542">
        <f>'MIlk-Data Entry'!AC27</f>
        <v>0</v>
      </c>
      <c r="I49" s="1544">
        <f>'MIlk-Data Entry'!AD27</f>
        <v>0</v>
      </c>
      <c r="J49" s="1544">
        <f>'MIlk-Data Entry'!AE27</f>
        <v>0</v>
      </c>
      <c r="K49" s="1544">
        <f>'MIlk-Data Entry'!AF27</f>
        <v>0</v>
      </c>
      <c r="L49" s="1544">
        <f>'MIlk-Data Entry'!AG27</f>
        <v>0</v>
      </c>
      <c r="M49" s="1546">
        <f t="shared" ref="M49" si="185">SUM(H49:L49)</f>
        <v>0</v>
      </c>
      <c r="N49" s="1544">
        <f>'MIlk-Data Entry'!AI27</f>
        <v>0</v>
      </c>
      <c r="O49" s="1544">
        <f>'MIlk-Data Entry'!AJ27</f>
        <v>0</v>
      </c>
      <c r="P49" s="1544">
        <f>'MIlk-Data Entry'!AK27</f>
        <v>0</v>
      </c>
      <c r="Q49" s="1546">
        <f t="shared" ref="Q49" si="186">SUM(N49:P49)</f>
        <v>0</v>
      </c>
      <c r="R49" s="1546">
        <f t="shared" ref="R49" si="187">M49+Q49</f>
        <v>0</v>
      </c>
      <c r="S49" s="1573">
        <f>M49*'School Info'!$C$21/1000</f>
        <v>0</v>
      </c>
      <c r="T49" s="1573">
        <f>Q49*'School Info'!$E$21/1000</f>
        <v>0</v>
      </c>
      <c r="U49" s="1575">
        <f t="shared" ref="U49" si="188">SUM(S49:T49)</f>
        <v>0</v>
      </c>
      <c r="V49" s="1573">
        <f>M49*'School Info'!$C$22/1000</f>
        <v>0</v>
      </c>
      <c r="W49" s="1573">
        <f>Q49*'School Info'!$E$22/1000</f>
        <v>0</v>
      </c>
      <c r="X49" s="1575">
        <f t="shared" ref="X49" si="189">SUM(V49:W49)</f>
        <v>0</v>
      </c>
      <c r="Y49" s="1397"/>
      <c r="Z49" s="492">
        <f t="shared" si="10"/>
        <v>0</v>
      </c>
      <c r="AA49" s="380" t="s">
        <v>118</v>
      </c>
      <c r="AB49" s="582">
        <f t="shared" si="25"/>
        <v>49.55</v>
      </c>
      <c r="AC49" s="583">
        <f>'MIlk-Data Entry'!AM27</f>
        <v>0</v>
      </c>
      <c r="AD49" s="583">
        <f>'MIlk-Data Entry'!AQ27</f>
        <v>0</v>
      </c>
      <c r="AE49" s="584">
        <f t="shared" si="14"/>
        <v>49.55</v>
      </c>
      <c r="AF49" s="583">
        <f t="shared" ref="AF49" si="190">S49</f>
        <v>0</v>
      </c>
      <c r="AG49" s="585">
        <f t="shared" si="16"/>
        <v>49.55</v>
      </c>
      <c r="AH49" s="582">
        <f t="shared" si="27"/>
        <v>29.748000000000001</v>
      </c>
      <c r="AI49" s="583">
        <f>'MIlk-Data Entry'!AO27</f>
        <v>0</v>
      </c>
      <c r="AJ49" s="583">
        <f>'MIlk-Data Entry'!AS27</f>
        <v>0</v>
      </c>
      <c r="AK49" s="584">
        <f t="shared" si="17"/>
        <v>29.748000000000001</v>
      </c>
      <c r="AL49" s="583">
        <f t="shared" ref="AL49" si="191">V49</f>
        <v>0</v>
      </c>
      <c r="AM49" s="585">
        <f t="shared" si="19"/>
        <v>29.748000000000001</v>
      </c>
      <c r="AN49" s="1567"/>
      <c r="AO49" s="763"/>
      <c r="AP49" s="36">
        <f>P49+Q49+AH49+AI49</f>
        <v>29.748000000000001</v>
      </c>
    </row>
    <row r="50" spans="1:42" s="37" customFormat="1" ht="22.5" customHeight="1" thickBot="1">
      <c r="A50" s="776"/>
      <c r="B50" s="1587"/>
      <c r="C50" s="1438"/>
      <c r="D50" s="1535"/>
      <c r="E50" s="1536"/>
      <c r="F50" s="1422"/>
      <c r="G50" s="1423"/>
      <c r="H50" s="1543"/>
      <c r="I50" s="1545"/>
      <c r="J50" s="1545"/>
      <c r="K50" s="1545"/>
      <c r="L50" s="1545"/>
      <c r="M50" s="1547"/>
      <c r="N50" s="1545"/>
      <c r="O50" s="1545"/>
      <c r="P50" s="1545"/>
      <c r="Q50" s="1547"/>
      <c r="R50" s="1547"/>
      <c r="S50" s="1574"/>
      <c r="T50" s="1574"/>
      <c r="U50" s="1576"/>
      <c r="V50" s="1574"/>
      <c r="W50" s="1574"/>
      <c r="X50" s="1576"/>
      <c r="Y50" s="1398"/>
      <c r="Z50" s="493">
        <f t="shared" si="13"/>
        <v>0</v>
      </c>
      <c r="AA50" s="473" t="s">
        <v>119</v>
      </c>
      <c r="AB50" s="586">
        <f t="shared" si="25"/>
        <v>69.760000000000005</v>
      </c>
      <c r="AC50" s="587">
        <f>'MIlk-Data Entry'!AN27</f>
        <v>0</v>
      </c>
      <c r="AD50" s="587">
        <f>'MIlk-Data Entry'!AR27</f>
        <v>0</v>
      </c>
      <c r="AE50" s="588">
        <f t="shared" si="14"/>
        <v>69.760000000000005</v>
      </c>
      <c r="AF50" s="587">
        <f t="shared" ref="AF50" si="192">T49</f>
        <v>0</v>
      </c>
      <c r="AG50" s="589">
        <f t="shared" si="16"/>
        <v>69.760000000000005</v>
      </c>
      <c r="AH50" s="586">
        <f t="shared" si="27"/>
        <v>39.877600000000001</v>
      </c>
      <c r="AI50" s="587">
        <f>'MIlk-Data Entry'!AP27</f>
        <v>0</v>
      </c>
      <c r="AJ50" s="587">
        <f>'MIlk-Data Entry'!AT27</f>
        <v>0</v>
      </c>
      <c r="AK50" s="588">
        <f t="shared" si="17"/>
        <v>39.877600000000001</v>
      </c>
      <c r="AL50" s="587">
        <f t="shared" ref="AL50" si="193">W49</f>
        <v>0</v>
      </c>
      <c r="AM50" s="589">
        <f t="shared" si="19"/>
        <v>39.877600000000001</v>
      </c>
      <c r="AN50" s="1568"/>
      <c r="AO50" s="763"/>
      <c r="AP50" s="36"/>
    </row>
    <row r="51" spans="1:42" s="37" customFormat="1" ht="22.5" customHeight="1">
      <c r="A51" s="776"/>
      <c r="B51" s="1587">
        <f>'MIlk-Data Entry'!K28</f>
        <v>0</v>
      </c>
      <c r="C51" s="1424">
        <f>'MIlk-Data Entry'!L28</f>
        <v>22</v>
      </c>
      <c r="D51" s="1425">
        <f>'MIlk-Data Entry'!M28</f>
        <v>45983</v>
      </c>
      <c r="E51" s="1426"/>
      <c r="F51" s="1537" t="str">
        <f>CONCATENATE('MIlk-Data Entry'!N28," ","(",'MIlk-Data Entry'!O28,")")</f>
        <v>Saturday (खुला)</v>
      </c>
      <c r="G51" s="1538"/>
      <c r="H51" s="1439">
        <f>'MIlk-Data Entry'!AC28</f>
        <v>0</v>
      </c>
      <c r="I51" s="1383">
        <f>'MIlk-Data Entry'!AD28</f>
        <v>0</v>
      </c>
      <c r="J51" s="1383">
        <f>'MIlk-Data Entry'!AE28</f>
        <v>0</v>
      </c>
      <c r="K51" s="1383">
        <f>'MIlk-Data Entry'!AF28</f>
        <v>0</v>
      </c>
      <c r="L51" s="1383">
        <f>'MIlk-Data Entry'!AG28</f>
        <v>0</v>
      </c>
      <c r="M51" s="1382">
        <f t="shared" ref="M51" si="194">SUM(H51:L51)</f>
        <v>0</v>
      </c>
      <c r="N51" s="1383">
        <f>'MIlk-Data Entry'!AI28</f>
        <v>0</v>
      </c>
      <c r="O51" s="1383">
        <f>'MIlk-Data Entry'!AJ28</f>
        <v>0</v>
      </c>
      <c r="P51" s="1383">
        <f>'MIlk-Data Entry'!AK28</f>
        <v>0</v>
      </c>
      <c r="Q51" s="1382">
        <f t="shared" ref="Q51" si="195">SUM(N51:P51)</f>
        <v>0</v>
      </c>
      <c r="R51" s="1382">
        <f t="shared" ref="R51" si="196">M51+Q51</f>
        <v>0</v>
      </c>
      <c r="S51" s="1579">
        <f>M51*'School Info'!$C$21/1000</f>
        <v>0</v>
      </c>
      <c r="T51" s="1579">
        <f>Q51*'School Info'!$E$21/1000</f>
        <v>0</v>
      </c>
      <c r="U51" s="1581">
        <f t="shared" ref="U51" si="197">SUM(S51:T51)</f>
        <v>0</v>
      </c>
      <c r="V51" s="1579">
        <f>M51*'School Info'!$C$22/1000</f>
        <v>0</v>
      </c>
      <c r="W51" s="1579">
        <f>Q51*'School Info'!$E$22/1000</f>
        <v>0</v>
      </c>
      <c r="X51" s="1581">
        <f t="shared" ref="X51" si="198">SUM(V51:W51)</f>
        <v>0</v>
      </c>
      <c r="Y51" s="1532"/>
      <c r="Z51" s="492">
        <f t="shared" si="10"/>
        <v>0</v>
      </c>
      <c r="AA51" s="477" t="s">
        <v>118</v>
      </c>
      <c r="AB51" s="590">
        <f t="shared" si="25"/>
        <v>49.55</v>
      </c>
      <c r="AC51" s="591">
        <f>'MIlk-Data Entry'!AM28</f>
        <v>0</v>
      </c>
      <c r="AD51" s="591">
        <f>'MIlk-Data Entry'!AQ28</f>
        <v>0</v>
      </c>
      <c r="AE51" s="592">
        <f t="shared" si="14"/>
        <v>49.55</v>
      </c>
      <c r="AF51" s="591">
        <f t="shared" ref="AF51" si="199">S51</f>
        <v>0</v>
      </c>
      <c r="AG51" s="593">
        <f t="shared" si="16"/>
        <v>49.55</v>
      </c>
      <c r="AH51" s="590">
        <f t="shared" si="27"/>
        <v>29.748000000000001</v>
      </c>
      <c r="AI51" s="591">
        <f>'MIlk-Data Entry'!AO28</f>
        <v>0</v>
      </c>
      <c r="AJ51" s="591">
        <f>'MIlk-Data Entry'!AS28</f>
        <v>0</v>
      </c>
      <c r="AK51" s="592">
        <f t="shared" si="17"/>
        <v>29.748000000000001</v>
      </c>
      <c r="AL51" s="591">
        <f t="shared" ref="AL51" si="200">V51</f>
        <v>0</v>
      </c>
      <c r="AM51" s="593">
        <f t="shared" si="19"/>
        <v>29.748000000000001</v>
      </c>
      <c r="AN51" s="1569"/>
      <c r="AO51" s="763"/>
      <c r="AP51" s="36">
        <f t="shared" ref="AP51:AP67" si="201">P51+Q51+AH51+AI51</f>
        <v>29.748000000000001</v>
      </c>
    </row>
    <row r="52" spans="1:42" s="37" customFormat="1" ht="22.5" customHeight="1" thickBot="1">
      <c r="A52" s="776"/>
      <c r="B52" s="1587"/>
      <c r="C52" s="1424"/>
      <c r="D52" s="1425"/>
      <c r="E52" s="1426"/>
      <c r="F52" s="1537"/>
      <c r="G52" s="1538"/>
      <c r="H52" s="1439"/>
      <c r="I52" s="1383"/>
      <c r="J52" s="1383"/>
      <c r="K52" s="1383"/>
      <c r="L52" s="1383"/>
      <c r="M52" s="1382"/>
      <c r="N52" s="1383"/>
      <c r="O52" s="1383"/>
      <c r="P52" s="1383"/>
      <c r="Q52" s="1382"/>
      <c r="R52" s="1382"/>
      <c r="S52" s="1580"/>
      <c r="T52" s="1580"/>
      <c r="U52" s="1582"/>
      <c r="V52" s="1580"/>
      <c r="W52" s="1580"/>
      <c r="X52" s="1582"/>
      <c r="Y52" s="1532"/>
      <c r="Z52" s="493">
        <f t="shared" si="13"/>
        <v>0</v>
      </c>
      <c r="AA52" s="478" t="s">
        <v>119</v>
      </c>
      <c r="AB52" s="594">
        <f t="shared" si="25"/>
        <v>69.760000000000005</v>
      </c>
      <c r="AC52" s="595">
        <f>'MIlk-Data Entry'!AN28</f>
        <v>0</v>
      </c>
      <c r="AD52" s="595">
        <f>'MIlk-Data Entry'!AR28</f>
        <v>0</v>
      </c>
      <c r="AE52" s="596">
        <f t="shared" si="14"/>
        <v>69.760000000000005</v>
      </c>
      <c r="AF52" s="595">
        <f t="shared" ref="AF52" si="202">T51</f>
        <v>0</v>
      </c>
      <c r="AG52" s="597">
        <f t="shared" si="16"/>
        <v>69.760000000000005</v>
      </c>
      <c r="AH52" s="594">
        <f t="shared" si="27"/>
        <v>39.877600000000001</v>
      </c>
      <c r="AI52" s="595">
        <f>'MIlk-Data Entry'!AP28</f>
        <v>0</v>
      </c>
      <c r="AJ52" s="595">
        <f>'MIlk-Data Entry'!AT28</f>
        <v>0</v>
      </c>
      <c r="AK52" s="596">
        <f t="shared" si="17"/>
        <v>39.877600000000001</v>
      </c>
      <c r="AL52" s="595">
        <f t="shared" ref="AL52" si="203">W51</f>
        <v>0</v>
      </c>
      <c r="AM52" s="597">
        <f t="shared" si="19"/>
        <v>39.877600000000001</v>
      </c>
      <c r="AN52" s="1569"/>
      <c r="AO52" s="763"/>
      <c r="AP52" s="36"/>
    </row>
    <row r="53" spans="1:42" s="37" customFormat="1" ht="22.5" customHeight="1">
      <c r="A53" s="776"/>
      <c r="B53" s="1587">
        <f>'MIlk-Data Entry'!K29</f>
        <v>0</v>
      </c>
      <c r="C53" s="1437">
        <f>'MIlk-Data Entry'!L29</f>
        <v>23</v>
      </c>
      <c r="D53" s="1533">
        <f>'MIlk-Data Entry'!M29</f>
        <v>45984</v>
      </c>
      <c r="E53" s="1534"/>
      <c r="F53" s="1420" t="str">
        <f>CONCATENATE('MIlk-Data Entry'!N29," ","(",'MIlk-Data Entry'!O29,")")</f>
        <v>Sunday (रवि॰अव॰)</v>
      </c>
      <c r="G53" s="1421"/>
      <c r="H53" s="1542">
        <f>'MIlk-Data Entry'!AC29</f>
        <v>0</v>
      </c>
      <c r="I53" s="1544">
        <f>'MIlk-Data Entry'!AD29</f>
        <v>0</v>
      </c>
      <c r="J53" s="1544">
        <f>'MIlk-Data Entry'!AE29</f>
        <v>0</v>
      </c>
      <c r="K53" s="1544">
        <f>'MIlk-Data Entry'!AF29</f>
        <v>0</v>
      </c>
      <c r="L53" s="1544">
        <f>'MIlk-Data Entry'!AG29</f>
        <v>0</v>
      </c>
      <c r="M53" s="1546">
        <f t="shared" ref="M53" si="204">SUM(H53:L53)</f>
        <v>0</v>
      </c>
      <c r="N53" s="1544">
        <f>'MIlk-Data Entry'!AI29</f>
        <v>0</v>
      </c>
      <c r="O53" s="1544">
        <f>'MIlk-Data Entry'!AJ29</f>
        <v>0</v>
      </c>
      <c r="P53" s="1544">
        <f>'MIlk-Data Entry'!AK29</f>
        <v>0</v>
      </c>
      <c r="Q53" s="1546">
        <f t="shared" ref="Q53" si="205">SUM(N53:P53)</f>
        <v>0</v>
      </c>
      <c r="R53" s="1546">
        <f t="shared" ref="R53" si="206">M53+Q53</f>
        <v>0</v>
      </c>
      <c r="S53" s="1573">
        <f>M53*'School Info'!$C$21/1000</f>
        <v>0</v>
      </c>
      <c r="T53" s="1573">
        <f>Q53*'School Info'!$E$21/1000</f>
        <v>0</v>
      </c>
      <c r="U53" s="1575">
        <f t="shared" ref="U53" si="207">SUM(S53:T53)</f>
        <v>0</v>
      </c>
      <c r="V53" s="1573">
        <f>M53*'School Info'!$C$22/1000</f>
        <v>0</v>
      </c>
      <c r="W53" s="1573">
        <f>Q53*'School Info'!$E$22/1000</f>
        <v>0</v>
      </c>
      <c r="X53" s="1575">
        <f t="shared" ref="X53" si="208">SUM(V53:W53)</f>
        <v>0</v>
      </c>
      <c r="Y53" s="1397"/>
      <c r="Z53" s="492">
        <f t="shared" si="10"/>
        <v>0</v>
      </c>
      <c r="AA53" s="380" t="s">
        <v>118</v>
      </c>
      <c r="AB53" s="582">
        <f t="shared" si="25"/>
        <v>49.55</v>
      </c>
      <c r="AC53" s="583">
        <f>'MIlk-Data Entry'!AM29</f>
        <v>0</v>
      </c>
      <c r="AD53" s="583">
        <f>'MIlk-Data Entry'!AQ29</f>
        <v>0</v>
      </c>
      <c r="AE53" s="584">
        <f t="shared" si="14"/>
        <v>49.55</v>
      </c>
      <c r="AF53" s="583">
        <f t="shared" ref="AF53" si="209">S53</f>
        <v>0</v>
      </c>
      <c r="AG53" s="585">
        <f t="shared" si="16"/>
        <v>49.55</v>
      </c>
      <c r="AH53" s="582">
        <f t="shared" si="27"/>
        <v>29.748000000000001</v>
      </c>
      <c r="AI53" s="583">
        <f>'MIlk-Data Entry'!AO29</f>
        <v>0</v>
      </c>
      <c r="AJ53" s="583">
        <f>'MIlk-Data Entry'!AS29</f>
        <v>0</v>
      </c>
      <c r="AK53" s="584">
        <f t="shared" si="17"/>
        <v>29.748000000000001</v>
      </c>
      <c r="AL53" s="583">
        <f t="shared" ref="AL53" si="210">V53</f>
        <v>0</v>
      </c>
      <c r="AM53" s="585">
        <f t="shared" si="19"/>
        <v>29.748000000000001</v>
      </c>
      <c r="AN53" s="1567"/>
      <c r="AO53" s="763"/>
      <c r="AP53" s="36">
        <f t="shared" si="201"/>
        <v>29.748000000000001</v>
      </c>
    </row>
    <row r="54" spans="1:42" s="37" customFormat="1" ht="22.5" customHeight="1" thickBot="1">
      <c r="A54" s="776"/>
      <c r="B54" s="1587"/>
      <c r="C54" s="1438"/>
      <c r="D54" s="1535"/>
      <c r="E54" s="1536"/>
      <c r="F54" s="1422"/>
      <c r="G54" s="1423"/>
      <c r="H54" s="1543"/>
      <c r="I54" s="1545"/>
      <c r="J54" s="1545"/>
      <c r="K54" s="1545"/>
      <c r="L54" s="1545"/>
      <c r="M54" s="1547"/>
      <c r="N54" s="1545"/>
      <c r="O54" s="1545"/>
      <c r="P54" s="1545"/>
      <c r="Q54" s="1547"/>
      <c r="R54" s="1547"/>
      <c r="S54" s="1574"/>
      <c r="T54" s="1574"/>
      <c r="U54" s="1576"/>
      <c r="V54" s="1574"/>
      <c r="W54" s="1574"/>
      <c r="X54" s="1576"/>
      <c r="Y54" s="1398"/>
      <c r="Z54" s="493">
        <f t="shared" si="13"/>
        <v>0</v>
      </c>
      <c r="AA54" s="473" t="s">
        <v>119</v>
      </c>
      <c r="AB54" s="586">
        <f t="shared" si="25"/>
        <v>69.760000000000005</v>
      </c>
      <c r="AC54" s="587">
        <f>'MIlk-Data Entry'!AN29</f>
        <v>0</v>
      </c>
      <c r="AD54" s="587">
        <f>'MIlk-Data Entry'!AR29</f>
        <v>0</v>
      </c>
      <c r="AE54" s="588">
        <f t="shared" si="14"/>
        <v>69.760000000000005</v>
      </c>
      <c r="AF54" s="587">
        <f t="shared" ref="AF54" si="211">T53</f>
        <v>0</v>
      </c>
      <c r="AG54" s="589">
        <f t="shared" si="16"/>
        <v>69.760000000000005</v>
      </c>
      <c r="AH54" s="586">
        <f t="shared" si="27"/>
        <v>39.877600000000001</v>
      </c>
      <c r="AI54" s="587">
        <f>'MIlk-Data Entry'!AP29</f>
        <v>0</v>
      </c>
      <c r="AJ54" s="587">
        <f>'MIlk-Data Entry'!AT29</f>
        <v>0</v>
      </c>
      <c r="AK54" s="588">
        <f t="shared" si="17"/>
        <v>39.877600000000001</v>
      </c>
      <c r="AL54" s="587">
        <f t="shared" ref="AL54" si="212">W53</f>
        <v>0</v>
      </c>
      <c r="AM54" s="589">
        <f t="shared" si="19"/>
        <v>39.877600000000001</v>
      </c>
      <c r="AN54" s="1568"/>
      <c r="AO54" s="763"/>
      <c r="AP54" s="36"/>
    </row>
    <row r="55" spans="1:42" s="37" customFormat="1" ht="22.5" customHeight="1">
      <c r="A55" s="776"/>
      <c r="B55" s="1587">
        <f>'MIlk-Data Entry'!K30</f>
        <v>0</v>
      </c>
      <c r="C55" s="1424">
        <f>'MIlk-Data Entry'!L30</f>
        <v>24</v>
      </c>
      <c r="D55" s="1425">
        <f>'MIlk-Data Entry'!M30</f>
        <v>45985</v>
      </c>
      <c r="E55" s="1426"/>
      <c r="F55" s="1537" t="str">
        <f>CONCATENATE('MIlk-Data Entry'!N30," ","(",'MIlk-Data Entry'!O30,")")</f>
        <v>Monday (खुला)</v>
      </c>
      <c r="G55" s="1538"/>
      <c r="H55" s="1439">
        <f>'MIlk-Data Entry'!AC30</f>
        <v>0</v>
      </c>
      <c r="I55" s="1383">
        <f>'MIlk-Data Entry'!AD30</f>
        <v>0</v>
      </c>
      <c r="J55" s="1383">
        <f>'MIlk-Data Entry'!AE30</f>
        <v>0</v>
      </c>
      <c r="K55" s="1383">
        <f>'MIlk-Data Entry'!AF30</f>
        <v>0</v>
      </c>
      <c r="L55" s="1383">
        <f>'MIlk-Data Entry'!AG30</f>
        <v>0</v>
      </c>
      <c r="M55" s="1382">
        <f t="shared" ref="M55" si="213">SUM(H55:L55)</f>
        <v>0</v>
      </c>
      <c r="N55" s="1383">
        <f>'MIlk-Data Entry'!AI30</f>
        <v>0</v>
      </c>
      <c r="O55" s="1383">
        <f>'MIlk-Data Entry'!AJ30</f>
        <v>0</v>
      </c>
      <c r="P55" s="1383">
        <f>'MIlk-Data Entry'!AK30</f>
        <v>0</v>
      </c>
      <c r="Q55" s="1382">
        <f t="shared" ref="Q55" si="214">SUM(N55:P55)</f>
        <v>0</v>
      </c>
      <c r="R55" s="1382">
        <f t="shared" ref="R55" si="215">M55+Q55</f>
        <v>0</v>
      </c>
      <c r="S55" s="1579">
        <f>M55*'School Info'!$C$21/1000</f>
        <v>0</v>
      </c>
      <c r="T55" s="1579">
        <f>Q55*'School Info'!$E$21/1000</f>
        <v>0</v>
      </c>
      <c r="U55" s="1581">
        <f t="shared" ref="U55" si="216">SUM(S55:T55)</f>
        <v>0</v>
      </c>
      <c r="V55" s="1579">
        <f>M55*'School Info'!$C$22/1000</f>
        <v>0</v>
      </c>
      <c r="W55" s="1579">
        <f>Q55*'School Info'!$E$22/1000</f>
        <v>0</v>
      </c>
      <c r="X55" s="1581">
        <f t="shared" ref="X55" si="217">SUM(V55:W55)</f>
        <v>0</v>
      </c>
      <c r="Y55" s="1532"/>
      <c r="Z55" s="492">
        <f t="shared" si="10"/>
        <v>0</v>
      </c>
      <c r="AA55" s="477" t="s">
        <v>118</v>
      </c>
      <c r="AB55" s="590">
        <f t="shared" si="25"/>
        <v>49.55</v>
      </c>
      <c r="AC55" s="591">
        <f>'MIlk-Data Entry'!AM30</f>
        <v>0</v>
      </c>
      <c r="AD55" s="591">
        <f>'MIlk-Data Entry'!AQ30</f>
        <v>0</v>
      </c>
      <c r="AE55" s="592">
        <f t="shared" si="14"/>
        <v>49.55</v>
      </c>
      <c r="AF55" s="591">
        <f t="shared" ref="AF55" si="218">S55</f>
        <v>0</v>
      </c>
      <c r="AG55" s="593">
        <f t="shared" si="16"/>
        <v>49.55</v>
      </c>
      <c r="AH55" s="590">
        <f t="shared" si="27"/>
        <v>29.748000000000001</v>
      </c>
      <c r="AI55" s="591">
        <f>'MIlk-Data Entry'!AO30</f>
        <v>0</v>
      </c>
      <c r="AJ55" s="591">
        <f>'MIlk-Data Entry'!AS30</f>
        <v>0</v>
      </c>
      <c r="AK55" s="592">
        <f t="shared" si="17"/>
        <v>29.748000000000001</v>
      </c>
      <c r="AL55" s="591">
        <f t="shared" ref="AL55" si="219">V55</f>
        <v>0</v>
      </c>
      <c r="AM55" s="593">
        <f t="shared" si="19"/>
        <v>29.748000000000001</v>
      </c>
      <c r="AN55" s="1569"/>
      <c r="AO55" s="763"/>
      <c r="AP55" s="36">
        <f t="shared" si="201"/>
        <v>29.748000000000001</v>
      </c>
    </row>
    <row r="56" spans="1:42" s="37" customFormat="1" ht="22.5" customHeight="1" thickBot="1">
      <c r="A56" s="776"/>
      <c r="B56" s="1587"/>
      <c r="C56" s="1424"/>
      <c r="D56" s="1425"/>
      <c r="E56" s="1426"/>
      <c r="F56" s="1537"/>
      <c r="G56" s="1538"/>
      <c r="H56" s="1439"/>
      <c r="I56" s="1383"/>
      <c r="J56" s="1383"/>
      <c r="K56" s="1383"/>
      <c r="L56" s="1383"/>
      <c r="M56" s="1382"/>
      <c r="N56" s="1383"/>
      <c r="O56" s="1383"/>
      <c r="P56" s="1383"/>
      <c r="Q56" s="1382"/>
      <c r="R56" s="1382"/>
      <c r="S56" s="1580"/>
      <c r="T56" s="1580"/>
      <c r="U56" s="1582"/>
      <c r="V56" s="1580"/>
      <c r="W56" s="1580"/>
      <c r="X56" s="1582"/>
      <c r="Y56" s="1532"/>
      <c r="Z56" s="493">
        <f t="shared" si="13"/>
        <v>0</v>
      </c>
      <c r="AA56" s="478" t="s">
        <v>119</v>
      </c>
      <c r="AB56" s="594">
        <f t="shared" si="25"/>
        <v>69.760000000000005</v>
      </c>
      <c r="AC56" s="595">
        <f>'MIlk-Data Entry'!AN30</f>
        <v>0</v>
      </c>
      <c r="AD56" s="595">
        <f>'MIlk-Data Entry'!AR30</f>
        <v>0</v>
      </c>
      <c r="AE56" s="596">
        <f t="shared" si="14"/>
        <v>69.760000000000005</v>
      </c>
      <c r="AF56" s="595">
        <f t="shared" ref="AF56" si="220">T55</f>
        <v>0</v>
      </c>
      <c r="AG56" s="597">
        <f t="shared" si="16"/>
        <v>69.760000000000005</v>
      </c>
      <c r="AH56" s="594">
        <f t="shared" si="27"/>
        <v>39.877600000000001</v>
      </c>
      <c r="AI56" s="595">
        <f>'MIlk-Data Entry'!AP30</f>
        <v>0</v>
      </c>
      <c r="AJ56" s="595">
        <f>'MIlk-Data Entry'!AT30</f>
        <v>0</v>
      </c>
      <c r="AK56" s="596">
        <f t="shared" si="17"/>
        <v>39.877600000000001</v>
      </c>
      <c r="AL56" s="595">
        <f t="shared" ref="AL56" si="221">W55</f>
        <v>0</v>
      </c>
      <c r="AM56" s="597">
        <f t="shared" si="19"/>
        <v>39.877600000000001</v>
      </c>
      <c r="AN56" s="1569"/>
      <c r="AO56" s="763"/>
      <c r="AP56" s="36"/>
    </row>
    <row r="57" spans="1:42" s="37" customFormat="1" ht="22.5" customHeight="1">
      <c r="A57" s="776"/>
      <c r="B57" s="1587">
        <f>'MIlk-Data Entry'!K31</f>
        <v>0</v>
      </c>
      <c r="C57" s="1437">
        <f>'MIlk-Data Entry'!L31</f>
        <v>25</v>
      </c>
      <c r="D57" s="1533">
        <f>'MIlk-Data Entry'!M31</f>
        <v>45986</v>
      </c>
      <c r="E57" s="1534"/>
      <c r="F57" s="1420" t="str">
        <f>CONCATENATE('MIlk-Data Entry'!N31," ","(",'MIlk-Data Entry'!O31,")")</f>
        <v>Tuesday (खुला)</v>
      </c>
      <c r="G57" s="1421"/>
      <c r="H57" s="1542">
        <f>'MIlk-Data Entry'!AC31</f>
        <v>0</v>
      </c>
      <c r="I57" s="1544">
        <f>'MIlk-Data Entry'!AD31</f>
        <v>0</v>
      </c>
      <c r="J57" s="1544">
        <f>'MIlk-Data Entry'!AE31</f>
        <v>0</v>
      </c>
      <c r="K57" s="1544">
        <f>'MIlk-Data Entry'!AF31</f>
        <v>0</v>
      </c>
      <c r="L57" s="1544">
        <f>'MIlk-Data Entry'!AG31</f>
        <v>0</v>
      </c>
      <c r="M57" s="1546">
        <f t="shared" ref="M57" si="222">SUM(H57:L57)</f>
        <v>0</v>
      </c>
      <c r="N57" s="1544">
        <f>'MIlk-Data Entry'!AI31</f>
        <v>0</v>
      </c>
      <c r="O57" s="1544">
        <f>'MIlk-Data Entry'!AJ31</f>
        <v>0</v>
      </c>
      <c r="P57" s="1544">
        <f>'MIlk-Data Entry'!AK31</f>
        <v>0</v>
      </c>
      <c r="Q57" s="1546">
        <f t="shared" ref="Q57" si="223">SUM(N57:P57)</f>
        <v>0</v>
      </c>
      <c r="R57" s="1546">
        <f t="shared" ref="R57" si="224">M57+Q57</f>
        <v>0</v>
      </c>
      <c r="S57" s="1573">
        <f>M57*'School Info'!$C$21/1000</f>
        <v>0</v>
      </c>
      <c r="T57" s="1573">
        <f>Q57*'School Info'!$E$21/1000</f>
        <v>0</v>
      </c>
      <c r="U57" s="1575">
        <f t="shared" ref="U57" si="225">SUM(S57:T57)</f>
        <v>0</v>
      </c>
      <c r="V57" s="1573">
        <f>M57*'School Info'!$C$22/1000</f>
        <v>0</v>
      </c>
      <c r="W57" s="1573">
        <f>Q57*'School Info'!$E$22/1000</f>
        <v>0</v>
      </c>
      <c r="X57" s="1575">
        <f t="shared" ref="X57" si="226">SUM(V57:W57)</f>
        <v>0</v>
      </c>
      <c r="Y57" s="1397"/>
      <c r="Z57" s="492">
        <f t="shared" si="10"/>
        <v>0</v>
      </c>
      <c r="AA57" s="380" t="s">
        <v>118</v>
      </c>
      <c r="AB57" s="582">
        <f t="shared" si="25"/>
        <v>49.55</v>
      </c>
      <c r="AC57" s="583">
        <f>'MIlk-Data Entry'!AM31</f>
        <v>0</v>
      </c>
      <c r="AD57" s="583">
        <f>'MIlk-Data Entry'!AQ31</f>
        <v>0</v>
      </c>
      <c r="AE57" s="584">
        <f t="shared" si="14"/>
        <v>49.55</v>
      </c>
      <c r="AF57" s="583">
        <f t="shared" ref="AF57" si="227">S57</f>
        <v>0</v>
      </c>
      <c r="AG57" s="585">
        <f t="shared" si="16"/>
        <v>49.55</v>
      </c>
      <c r="AH57" s="582">
        <f t="shared" si="27"/>
        <v>29.748000000000001</v>
      </c>
      <c r="AI57" s="583">
        <f>'MIlk-Data Entry'!AO31</f>
        <v>0</v>
      </c>
      <c r="AJ57" s="583">
        <f>'MIlk-Data Entry'!AS31</f>
        <v>0</v>
      </c>
      <c r="AK57" s="584">
        <f t="shared" si="17"/>
        <v>29.748000000000001</v>
      </c>
      <c r="AL57" s="583">
        <f t="shared" ref="AL57" si="228">V57</f>
        <v>0</v>
      </c>
      <c r="AM57" s="585">
        <f t="shared" si="19"/>
        <v>29.748000000000001</v>
      </c>
      <c r="AN57" s="1567"/>
      <c r="AO57" s="763"/>
      <c r="AP57" s="36">
        <f t="shared" si="201"/>
        <v>29.748000000000001</v>
      </c>
    </row>
    <row r="58" spans="1:42" s="37" customFormat="1" ht="22.5" customHeight="1" thickBot="1">
      <c r="A58" s="776"/>
      <c r="B58" s="1587"/>
      <c r="C58" s="1438"/>
      <c r="D58" s="1535"/>
      <c r="E58" s="1536"/>
      <c r="F58" s="1422"/>
      <c r="G58" s="1423"/>
      <c r="H58" s="1543"/>
      <c r="I58" s="1545"/>
      <c r="J58" s="1545"/>
      <c r="K58" s="1545"/>
      <c r="L58" s="1545"/>
      <c r="M58" s="1547"/>
      <c r="N58" s="1545"/>
      <c r="O58" s="1545"/>
      <c r="P58" s="1545"/>
      <c r="Q58" s="1547"/>
      <c r="R58" s="1547"/>
      <c r="S58" s="1574"/>
      <c r="T58" s="1574"/>
      <c r="U58" s="1576"/>
      <c r="V58" s="1574"/>
      <c r="W58" s="1574"/>
      <c r="X58" s="1576"/>
      <c r="Y58" s="1398"/>
      <c r="Z58" s="493">
        <f t="shared" si="13"/>
        <v>0</v>
      </c>
      <c r="AA58" s="473" t="s">
        <v>119</v>
      </c>
      <c r="AB58" s="586">
        <f t="shared" si="25"/>
        <v>69.760000000000005</v>
      </c>
      <c r="AC58" s="587">
        <f>'MIlk-Data Entry'!AN31</f>
        <v>0</v>
      </c>
      <c r="AD58" s="587">
        <f>'MIlk-Data Entry'!AR31</f>
        <v>0</v>
      </c>
      <c r="AE58" s="588">
        <f t="shared" si="14"/>
        <v>69.760000000000005</v>
      </c>
      <c r="AF58" s="587">
        <f t="shared" ref="AF58" si="229">T57</f>
        <v>0</v>
      </c>
      <c r="AG58" s="589">
        <f t="shared" si="16"/>
        <v>69.760000000000005</v>
      </c>
      <c r="AH58" s="586">
        <f t="shared" si="27"/>
        <v>39.877600000000001</v>
      </c>
      <c r="AI58" s="587">
        <f>'MIlk-Data Entry'!AP31</f>
        <v>0</v>
      </c>
      <c r="AJ58" s="587">
        <f>'MIlk-Data Entry'!AT31</f>
        <v>0</v>
      </c>
      <c r="AK58" s="588">
        <f t="shared" si="17"/>
        <v>39.877600000000001</v>
      </c>
      <c r="AL58" s="587">
        <f t="shared" ref="AL58" si="230">W57</f>
        <v>0</v>
      </c>
      <c r="AM58" s="589">
        <f t="shared" si="19"/>
        <v>39.877600000000001</v>
      </c>
      <c r="AN58" s="1568"/>
      <c r="AO58" s="763"/>
      <c r="AP58" s="36"/>
    </row>
    <row r="59" spans="1:42" s="37" customFormat="1" ht="22.5" customHeight="1">
      <c r="A59" s="776"/>
      <c r="B59" s="1587">
        <f>'MIlk-Data Entry'!K32</f>
        <v>0</v>
      </c>
      <c r="C59" s="1424">
        <f>'MIlk-Data Entry'!L32</f>
        <v>26</v>
      </c>
      <c r="D59" s="1425">
        <f>'MIlk-Data Entry'!M32</f>
        <v>45987</v>
      </c>
      <c r="E59" s="1426"/>
      <c r="F59" s="1537" t="str">
        <f>CONCATENATE('MIlk-Data Entry'!N32," ","(",'MIlk-Data Entry'!O32,")")</f>
        <v>Wednesday (खुला)</v>
      </c>
      <c r="G59" s="1538"/>
      <c r="H59" s="1439">
        <f>'MIlk-Data Entry'!AC32</f>
        <v>0</v>
      </c>
      <c r="I59" s="1383">
        <f>'MIlk-Data Entry'!AD32</f>
        <v>0</v>
      </c>
      <c r="J59" s="1383">
        <f>'MIlk-Data Entry'!AE32</f>
        <v>0</v>
      </c>
      <c r="K59" s="1383">
        <f>'MIlk-Data Entry'!AF32</f>
        <v>0</v>
      </c>
      <c r="L59" s="1383">
        <f>'MIlk-Data Entry'!AG32</f>
        <v>0</v>
      </c>
      <c r="M59" s="1382">
        <f t="shared" ref="M59" si="231">SUM(H59:L59)</f>
        <v>0</v>
      </c>
      <c r="N59" s="1383">
        <f>'MIlk-Data Entry'!AI32</f>
        <v>0</v>
      </c>
      <c r="O59" s="1383">
        <f>'MIlk-Data Entry'!AJ32</f>
        <v>0</v>
      </c>
      <c r="P59" s="1383">
        <f>'MIlk-Data Entry'!AK32</f>
        <v>0</v>
      </c>
      <c r="Q59" s="1382">
        <f t="shared" ref="Q59" si="232">SUM(N59:P59)</f>
        <v>0</v>
      </c>
      <c r="R59" s="1382">
        <f t="shared" ref="R59" si="233">M59+Q59</f>
        <v>0</v>
      </c>
      <c r="S59" s="1579">
        <f>M59*'School Info'!$C$21/1000</f>
        <v>0</v>
      </c>
      <c r="T59" s="1579">
        <f>Q59*'School Info'!$E$21/1000</f>
        <v>0</v>
      </c>
      <c r="U59" s="1581">
        <f t="shared" ref="U59" si="234">SUM(S59:T59)</f>
        <v>0</v>
      </c>
      <c r="V59" s="1579">
        <f>M59*'School Info'!$C$22/1000</f>
        <v>0</v>
      </c>
      <c r="W59" s="1579">
        <f>Q59*'School Info'!$E$22/1000</f>
        <v>0</v>
      </c>
      <c r="X59" s="1581">
        <f t="shared" ref="X59" si="235">SUM(V59:W59)</f>
        <v>0</v>
      </c>
      <c r="Y59" s="1532"/>
      <c r="Z59" s="492">
        <f t="shared" si="10"/>
        <v>0</v>
      </c>
      <c r="AA59" s="477" t="s">
        <v>118</v>
      </c>
      <c r="AB59" s="590">
        <f t="shared" si="25"/>
        <v>49.55</v>
      </c>
      <c r="AC59" s="591">
        <f>'MIlk-Data Entry'!AM32</f>
        <v>0</v>
      </c>
      <c r="AD59" s="591">
        <f>'MIlk-Data Entry'!AQ32</f>
        <v>0</v>
      </c>
      <c r="AE59" s="592">
        <f t="shared" si="14"/>
        <v>49.55</v>
      </c>
      <c r="AF59" s="591">
        <f t="shared" ref="AF59" si="236">S59</f>
        <v>0</v>
      </c>
      <c r="AG59" s="593">
        <f t="shared" si="16"/>
        <v>49.55</v>
      </c>
      <c r="AH59" s="590">
        <f t="shared" si="27"/>
        <v>29.748000000000001</v>
      </c>
      <c r="AI59" s="591">
        <f>'MIlk-Data Entry'!AO32</f>
        <v>0</v>
      </c>
      <c r="AJ59" s="591">
        <f>'MIlk-Data Entry'!AS32</f>
        <v>0</v>
      </c>
      <c r="AK59" s="592">
        <f t="shared" si="17"/>
        <v>29.748000000000001</v>
      </c>
      <c r="AL59" s="591">
        <f t="shared" ref="AL59" si="237">V59</f>
        <v>0</v>
      </c>
      <c r="AM59" s="593">
        <f t="shared" si="19"/>
        <v>29.748000000000001</v>
      </c>
      <c r="AN59" s="1569"/>
      <c r="AO59" s="763"/>
      <c r="AP59" s="36">
        <f t="shared" si="201"/>
        <v>29.748000000000001</v>
      </c>
    </row>
    <row r="60" spans="1:42" s="37" customFormat="1" ht="22.5" customHeight="1" thickBot="1">
      <c r="A60" s="776"/>
      <c r="B60" s="1587"/>
      <c r="C60" s="1424"/>
      <c r="D60" s="1425"/>
      <c r="E60" s="1426"/>
      <c r="F60" s="1537"/>
      <c r="G60" s="1538"/>
      <c r="H60" s="1439"/>
      <c r="I60" s="1383"/>
      <c r="J60" s="1383"/>
      <c r="K60" s="1383"/>
      <c r="L60" s="1383"/>
      <c r="M60" s="1382"/>
      <c r="N60" s="1383"/>
      <c r="O60" s="1383"/>
      <c r="P60" s="1383"/>
      <c r="Q60" s="1382"/>
      <c r="R60" s="1382"/>
      <c r="S60" s="1580"/>
      <c r="T60" s="1580"/>
      <c r="U60" s="1582"/>
      <c r="V60" s="1580"/>
      <c r="W60" s="1580"/>
      <c r="X60" s="1582"/>
      <c r="Y60" s="1532"/>
      <c r="Z60" s="493">
        <f t="shared" si="13"/>
        <v>0</v>
      </c>
      <c r="AA60" s="478" t="s">
        <v>119</v>
      </c>
      <c r="AB60" s="594">
        <f t="shared" si="25"/>
        <v>69.760000000000005</v>
      </c>
      <c r="AC60" s="595">
        <f>'MIlk-Data Entry'!AN32</f>
        <v>0</v>
      </c>
      <c r="AD60" s="595">
        <f>'MIlk-Data Entry'!AR32</f>
        <v>0</v>
      </c>
      <c r="AE60" s="596">
        <f t="shared" si="14"/>
        <v>69.760000000000005</v>
      </c>
      <c r="AF60" s="595">
        <f t="shared" ref="AF60" si="238">T59</f>
        <v>0</v>
      </c>
      <c r="AG60" s="597">
        <f t="shared" si="16"/>
        <v>69.760000000000005</v>
      </c>
      <c r="AH60" s="594">
        <f t="shared" si="27"/>
        <v>39.877600000000001</v>
      </c>
      <c r="AI60" s="595">
        <f>'MIlk-Data Entry'!AP32</f>
        <v>0</v>
      </c>
      <c r="AJ60" s="595">
        <f>'MIlk-Data Entry'!AT32</f>
        <v>0</v>
      </c>
      <c r="AK60" s="596">
        <f t="shared" si="17"/>
        <v>39.877600000000001</v>
      </c>
      <c r="AL60" s="595">
        <f t="shared" ref="AL60" si="239">W59</f>
        <v>0</v>
      </c>
      <c r="AM60" s="597">
        <f t="shared" si="19"/>
        <v>39.877600000000001</v>
      </c>
      <c r="AN60" s="1569"/>
      <c r="AO60" s="763"/>
      <c r="AP60" s="36"/>
    </row>
    <row r="61" spans="1:42" s="37" customFormat="1" ht="22.5" customHeight="1">
      <c r="A61" s="776"/>
      <c r="B61" s="1587">
        <f>'MIlk-Data Entry'!K33</f>
        <v>0</v>
      </c>
      <c r="C61" s="1437">
        <f>'MIlk-Data Entry'!L33</f>
        <v>27</v>
      </c>
      <c r="D61" s="1533">
        <f>'MIlk-Data Entry'!M33</f>
        <v>45988</v>
      </c>
      <c r="E61" s="1534"/>
      <c r="F61" s="1420" t="str">
        <f>CONCATENATE('MIlk-Data Entry'!N33," ","(",'MIlk-Data Entry'!O33,")")</f>
        <v>Thursday (खुला)</v>
      </c>
      <c r="G61" s="1421"/>
      <c r="H61" s="1542">
        <f>'MIlk-Data Entry'!AC33</f>
        <v>0</v>
      </c>
      <c r="I61" s="1544">
        <f>'MIlk-Data Entry'!AD33</f>
        <v>0</v>
      </c>
      <c r="J61" s="1544">
        <f>'MIlk-Data Entry'!AE33</f>
        <v>0</v>
      </c>
      <c r="K61" s="1544">
        <f>'MIlk-Data Entry'!AF33</f>
        <v>0</v>
      </c>
      <c r="L61" s="1544">
        <f>'MIlk-Data Entry'!AG33</f>
        <v>0</v>
      </c>
      <c r="M61" s="1546">
        <f t="shared" ref="M61" si="240">SUM(H61:L61)</f>
        <v>0</v>
      </c>
      <c r="N61" s="1544">
        <f>'MIlk-Data Entry'!AI33</f>
        <v>0</v>
      </c>
      <c r="O61" s="1544">
        <f>'MIlk-Data Entry'!AJ33</f>
        <v>0</v>
      </c>
      <c r="P61" s="1544">
        <f>'MIlk-Data Entry'!AK33</f>
        <v>0</v>
      </c>
      <c r="Q61" s="1546">
        <f t="shared" ref="Q61" si="241">SUM(N61:P61)</f>
        <v>0</v>
      </c>
      <c r="R61" s="1546">
        <f t="shared" ref="R61" si="242">M61+Q61</f>
        <v>0</v>
      </c>
      <c r="S61" s="1573">
        <f>M61*'School Info'!$C$21/1000</f>
        <v>0</v>
      </c>
      <c r="T61" s="1573">
        <f>Q61*'School Info'!$E$21/1000</f>
        <v>0</v>
      </c>
      <c r="U61" s="1575">
        <f t="shared" ref="U61" si="243">SUM(S61:T61)</f>
        <v>0</v>
      </c>
      <c r="V61" s="1573">
        <f>M61*'School Info'!$C$22/1000</f>
        <v>0</v>
      </c>
      <c r="W61" s="1573">
        <f>Q61*'School Info'!$E$22/1000</f>
        <v>0</v>
      </c>
      <c r="X61" s="1575">
        <f t="shared" ref="X61" si="244">SUM(V61:W61)</f>
        <v>0</v>
      </c>
      <c r="Y61" s="1397"/>
      <c r="Z61" s="492">
        <f t="shared" si="10"/>
        <v>0</v>
      </c>
      <c r="AA61" s="380" t="s">
        <v>118</v>
      </c>
      <c r="AB61" s="582">
        <f t="shared" si="25"/>
        <v>49.55</v>
      </c>
      <c r="AC61" s="583">
        <f>'MIlk-Data Entry'!AM33</f>
        <v>0</v>
      </c>
      <c r="AD61" s="583">
        <f>'MIlk-Data Entry'!AQ33</f>
        <v>0</v>
      </c>
      <c r="AE61" s="584">
        <f t="shared" si="14"/>
        <v>49.55</v>
      </c>
      <c r="AF61" s="583">
        <f t="shared" ref="AF61" si="245">S61</f>
        <v>0</v>
      </c>
      <c r="AG61" s="585">
        <f t="shared" si="16"/>
        <v>49.55</v>
      </c>
      <c r="AH61" s="582">
        <f t="shared" si="27"/>
        <v>29.748000000000001</v>
      </c>
      <c r="AI61" s="583">
        <f>'MIlk-Data Entry'!AO33</f>
        <v>0</v>
      </c>
      <c r="AJ61" s="583">
        <f>'MIlk-Data Entry'!AS33</f>
        <v>0</v>
      </c>
      <c r="AK61" s="584">
        <f t="shared" si="17"/>
        <v>29.748000000000001</v>
      </c>
      <c r="AL61" s="583">
        <f t="shared" ref="AL61" si="246">V61</f>
        <v>0</v>
      </c>
      <c r="AM61" s="585">
        <f t="shared" si="19"/>
        <v>29.748000000000001</v>
      </c>
      <c r="AN61" s="1567"/>
      <c r="AO61" s="763"/>
      <c r="AP61" s="36">
        <f t="shared" si="201"/>
        <v>29.748000000000001</v>
      </c>
    </row>
    <row r="62" spans="1:42" s="37" customFormat="1" ht="22.5" customHeight="1" thickBot="1">
      <c r="A62" s="776"/>
      <c r="B62" s="1587"/>
      <c r="C62" s="1438"/>
      <c r="D62" s="1535"/>
      <c r="E62" s="1536"/>
      <c r="F62" s="1422"/>
      <c r="G62" s="1423"/>
      <c r="H62" s="1543"/>
      <c r="I62" s="1545"/>
      <c r="J62" s="1545"/>
      <c r="K62" s="1545"/>
      <c r="L62" s="1545"/>
      <c r="M62" s="1547"/>
      <c r="N62" s="1545"/>
      <c r="O62" s="1545"/>
      <c r="P62" s="1545"/>
      <c r="Q62" s="1547"/>
      <c r="R62" s="1547"/>
      <c r="S62" s="1574"/>
      <c r="T62" s="1574"/>
      <c r="U62" s="1576"/>
      <c r="V62" s="1574"/>
      <c r="W62" s="1574"/>
      <c r="X62" s="1576"/>
      <c r="Y62" s="1398"/>
      <c r="Z62" s="493">
        <f t="shared" si="13"/>
        <v>0</v>
      </c>
      <c r="AA62" s="473" t="s">
        <v>119</v>
      </c>
      <c r="AB62" s="586">
        <f t="shared" si="25"/>
        <v>69.760000000000005</v>
      </c>
      <c r="AC62" s="587">
        <f>'MIlk-Data Entry'!AN33</f>
        <v>0</v>
      </c>
      <c r="AD62" s="587">
        <f>'MIlk-Data Entry'!AR33</f>
        <v>0</v>
      </c>
      <c r="AE62" s="588">
        <f t="shared" si="14"/>
        <v>69.760000000000005</v>
      </c>
      <c r="AF62" s="587">
        <f t="shared" ref="AF62" si="247">T61</f>
        <v>0</v>
      </c>
      <c r="AG62" s="589">
        <f t="shared" si="16"/>
        <v>69.760000000000005</v>
      </c>
      <c r="AH62" s="586">
        <f t="shared" si="27"/>
        <v>39.877600000000001</v>
      </c>
      <c r="AI62" s="587">
        <f>'MIlk-Data Entry'!AP33</f>
        <v>0</v>
      </c>
      <c r="AJ62" s="587">
        <f>'MIlk-Data Entry'!AT33</f>
        <v>0</v>
      </c>
      <c r="AK62" s="588">
        <f t="shared" si="17"/>
        <v>39.877600000000001</v>
      </c>
      <c r="AL62" s="587">
        <f t="shared" ref="AL62" si="248">W61</f>
        <v>0</v>
      </c>
      <c r="AM62" s="589">
        <f t="shared" si="19"/>
        <v>39.877600000000001</v>
      </c>
      <c r="AN62" s="1568"/>
      <c r="AO62" s="763"/>
      <c r="AP62" s="36"/>
    </row>
    <row r="63" spans="1:42" s="37" customFormat="1" ht="22.5" customHeight="1">
      <c r="A63" s="776"/>
      <c r="B63" s="1587">
        <f>IF(C63="--","--",'MIlk-Data Entry'!K34)</f>
        <v>0</v>
      </c>
      <c r="C63" s="1424">
        <f>'MIlk-Data Entry'!L34</f>
        <v>28</v>
      </c>
      <c r="D63" s="1425">
        <f>'MIlk-Data Entry'!M34</f>
        <v>45989</v>
      </c>
      <c r="E63" s="1426"/>
      <c r="F63" s="1537" t="str">
        <f>CONCATENATE('MIlk-Data Entry'!N34," ","(",'MIlk-Data Entry'!O34,")")</f>
        <v>Friday (खुला)</v>
      </c>
      <c r="G63" s="1538"/>
      <c r="H63" s="1439">
        <f>'MIlk-Data Entry'!AC34</f>
        <v>0</v>
      </c>
      <c r="I63" s="1383">
        <f>'MIlk-Data Entry'!AD34</f>
        <v>0</v>
      </c>
      <c r="J63" s="1383">
        <f>'MIlk-Data Entry'!AE34</f>
        <v>0</v>
      </c>
      <c r="K63" s="1383">
        <f>'MIlk-Data Entry'!AF34</f>
        <v>0</v>
      </c>
      <c r="L63" s="1383">
        <f>'MIlk-Data Entry'!AG34</f>
        <v>0</v>
      </c>
      <c r="M63" s="1382">
        <f t="shared" ref="M63" si="249">SUM(H63:L63)</f>
        <v>0</v>
      </c>
      <c r="N63" s="1383">
        <f>'MIlk-Data Entry'!AI34</f>
        <v>0</v>
      </c>
      <c r="O63" s="1383">
        <f>'MIlk-Data Entry'!AJ34</f>
        <v>0</v>
      </c>
      <c r="P63" s="1383">
        <f>'MIlk-Data Entry'!AK34</f>
        <v>0</v>
      </c>
      <c r="Q63" s="1382">
        <f t="shared" ref="Q63" si="250">SUM(N63:P63)</f>
        <v>0</v>
      </c>
      <c r="R63" s="1382">
        <f t="shared" ref="R63" si="251">M63+Q63</f>
        <v>0</v>
      </c>
      <c r="S63" s="1579">
        <f>M63*'School Info'!$C$21/1000</f>
        <v>0</v>
      </c>
      <c r="T63" s="1579">
        <f>Q63*'School Info'!$E$21/1000</f>
        <v>0</v>
      </c>
      <c r="U63" s="1581">
        <f t="shared" ref="U63" si="252">SUM(S63:T63)</f>
        <v>0</v>
      </c>
      <c r="V63" s="1579">
        <f>M63*'School Info'!$C$22/1000</f>
        <v>0</v>
      </c>
      <c r="W63" s="1579">
        <f>Q63*'School Info'!$E$22/1000</f>
        <v>0</v>
      </c>
      <c r="X63" s="1581">
        <f t="shared" ref="X63" si="253">SUM(V63:W63)</f>
        <v>0</v>
      </c>
      <c r="Y63" s="1532"/>
      <c r="Z63" s="492">
        <f t="shared" si="10"/>
        <v>0</v>
      </c>
      <c r="AA63" s="477" t="s">
        <v>118</v>
      </c>
      <c r="AB63" s="590">
        <f t="shared" si="25"/>
        <v>49.55</v>
      </c>
      <c r="AC63" s="591">
        <f>'MIlk-Data Entry'!AM34</f>
        <v>0</v>
      </c>
      <c r="AD63" s="591">
        <f>'MIlk-Data Entry'!AQ34</f>
        <v>0</v>
      </c>
      <c r="AE63" s="592">
        <f t="shared" si="14"/>
        <v>49.55</v>
      </c>
      <c r="AF63" s="591">
        <f t="shared" ref="AF63" si="254">S63</f>
        <v>0</v>
      </c>
      <c r="AG63" s="593">
        <f t="shared" si="16"/>
        <v>49.55</v>
      </c>
      <c r="AH63" s="590">
        <f t="shared" si="27"/>
        <v>29.748000000000001</v>
      </c>
      <c r="AI63" s="591">
        <f>'MIlk-Data Entry'!AO34</f>
        <v>0</v>
      </c>
      <c r="AJ63" s="591">
        <f>'MIlk-Data Entry'!AS34</f>
        <v>0</v>
      </c>
      <c r="AK63" s="592">
        <f t="shared" si="17"/>
        <v>29.748000000000001</v>
      </c>
      <c r="AL63" s="591">
        <f t="shared" ref="AL63" si="255">V63</f>
        <v>0</v>
      </c>
      <c r="AM63" s="593">
        <f t="shared" si="19"/>
        <v>29.748000000000001</v>
      </c>
      <c r="AN63" s="1569"/>
      <c r="AO63" s="763"/>
      <c r="AP63" s="36">
        <f t="shared" si="201"/>
        <v>29.748000000000001</v>
      </c>
    </row>
    <row r="64" spans="1:42" s="37" customFormat="1" ht="22.5" customHeight="1" thickBot="1">
      <c r="A64" s="776"/>
      <c r="B64" s="1587"/>
      <c r="C64" s="1424"/>
      <c r="D64" s="1425"/>
      <c r="E64" s="1426"/>
      <c r="F64" s="1537"/>
      <c r="G64" s="1538"/>
      <c r="H64" s="1439"/>
      <c r="I64" s="1383"/>
      <c r="J64" s="1383"/>
      <c r="K64" s="1383"/>
      <c r="L64" s="1383"/>
      <c r="M64" s="1382"/>
      <c r="N64" s="1383"/>
      <c r="O64" s="1383"/>
      <c r="P64" s="1383"/>
      <c r="Q64" s="1382"/>
      <c r="R64" s="1382"/>
      <c r="S64" s="1580"/>
      <c r="T64" s="1580"/>
      <c r="U64" s="1582"/>
      <c r="V64" s="1580"/>
      <c r="W64" s="1580"/>
      <c r="X64" s="1582"/>
      <c r="Y64" s="1532"/>
      <c r="Z64" s="493">
        <f t="shared" si="13"/>
        <v>0</v>
      </c>
      <c r="AA64" s="478" t="s">
        <v>119</v>
      </c>
      <c r="AB64" s="594">
        <f t="shared" si="25"/>
        <v>69.760000000000005</v>
      </c>
      <c r="AC64" s="595">
        <f>'MIlk-Data Entry'!AN34</f>
        <v>0</v>
      </c>
      <c r="AD64" s="595">
        <f>'MIlk-Data Entry'!AR34</f>
        <v>0</v>
      </c>
      <c r="AE64" s="596">
        <f t="shared" si="14"/>
        <v>69.760000000000005</v>
      </c>
      <c r="AF64" s="595">
        <f t="shared" ref="AF64" si="256">T63</f>
        <v>0</v>
      </c>
      <c r="AG64" s="597">
        <f t="shared" si="16"/>
        <v>69.760000000000005</v>
      </c>
      <c r="AH64" s="594">
        <f t="shared" si="27"/>
        <v>39.877600000000001</v>
      </c>
      <c r="AI64" s="595">
        <f>'MIlk-Data Entry'!AP34</f>
        <v>0</v>
      </c>
      <c r="AJ64" s="595">
        <f>'MIlk-Data Entry'!AT34</f>
        <v>0</v>
      </c>
      <c r="AK64" s="596">
        <f t="shared" si="17"/>
        <v>39.877600000000001</v>
      </c>
      <c r="AL64" s="595">
        <f t="shared" ref="AL64" si="257">W63</f>
        <v>0</v>
      </c>
      <c r="AM64" s="597">
        <f t="shared" si="19"/>
        <v>39.877600000000001</v>
      </c>
      <c r="AN64" s="1569"/>
      <c r="AO64" s="763"/>
      <c r="AP64" s="36"/>
    </row>
    <row r="65" spans="1:42" s="37" customFormat="1" ht="22.5" customHeight="1">
      <c r="A65" s="776"/>
      <c r="B65" s="1587">
        <f>IF(C65="--","--",'MIlk-Data Entry'!K35)</f>
        <v>0</v>
      </c>
      <c r="C65" s="1437">
        <f>'MIlk-Data Entry'!L35</f>
        <v>29</v>
      </c>
      <c r="D65" s="1533">
        <f>'MIlk-Data Entry'!M35</f>
        <v>45990</v>
      </c>
      <c r="E65" s="1534"/>
      <c r="F65" s="1420" t="str">
        <f>IF($C65="--","--",CONCATENATE('MIlk-Data Entry'!N35," ","(",'MIlk-Data Entry'!O35,")"))</f>
        <v>Saturday (खुला)</v>
      </c>
      <c r="G65" s="1421"/>
      <c r="H65" s="1542">
        <f>IF($C65="--","--",'MIlk-Data Entry'!AC35)</f>
        <v>0</v>
      </c>
      <c r="I65" s="1544">
        <f>IF($C65="--","--",'MIlk-Data Entry'!AD35)</f>
        <v>0</v>
      </c>
      <c r="J65" s="1544">
        <f>IF($C65="--","--",'MIlk-Data Entry'!AE35)</f>
        <v>0</v>
      </c>
      <c r="K65" s="1544">
        <f>IF($C65="--","--",'MIlk-Data Entry'!AF35)</f>
        <v>0</v>
      </c>
      <c r="L65" s="1544">
        <f>IF($C65="--","--",'MIlk-Data Entry'!AG35)</f>
        <v>0</v>
      </c>
      <c r="M65" s="1546">
        <f>IF($C65="--","--",SUM(H65:L65))</f>
        <v>0</v>
      </c>
      <c r="N65" s="1544">
        <f>IF($C65="--","--",'MIlk-Data Entry'!AI35)</f>
        <v>0</v>
      </c>
      <c r="O65" s="1544">
        <f>IF($C65="--","--",'MIlk-Data Entry'!AJ35)</f>
        <v>0</v>
      </c>
      <c r="P65" s="1544">
        <f>IF($C65="--","--",'MIlk-Data Entry'!AK35)</f>
        <v>0</v>
      </c>
      <c r="Q65" s="1546">
        <f>IF($C65="--","--",SUM(N65:P65))</f>
        <v>0</v>
      </c>
      <c r="R65" s="1546">
        <f>IF($C65="--","--",SUM(M65,Q65))</f>
        <v>0</v>
      </c>
      <c r="S65" s="1573">
        <f>IF($C65="--","--",M65*'School Info'!$C$21/1000)</f>
        <v>0</v>
      </c>
      <c r="T65" s="1573">
        <f>IF($C65="--","--",Q65*'School Info'!$E$21/1000)</f>
        <v>0</v>
      </c>
      <c r="U65" s="1575">
        <f>IF($C65="--","--",SUM(S65:T65))</f>
        <v>0</v>
      </c>
      <c r="V65" s="1573">
        <f>IF($C65="--","--",M65*'School Info'!$C$22/1000)</f>
        <v>0</v>
      </c>
      <c r="W65" s="1573">
        <f>IF($C65="--","--",Q65*'School Info'!$E$22/1000)</f>
        <v>0</v>
      </c>
      <c r="X65" s="1575">
        <f>IF($C65="--","--",SUM(V65:W65))</f>
        <v>0</v>
      </c>
      <c r="Y65" s="1397"/>
      <c r="Z65" s="492">
        <f t="shared" si="10"/>
        <v>0</v>
      </c>
      <c r="AA65" s="380" t="str">
        <f>IF($C65="--","--","1 to 5")</f>
        <v>1 to 5</v>
      </c>
      <c r="AB65" s="582">
        <f>IF($C65="--","--",AG63)</f>
        <v>49.55</v>
      </c>
      <c r="AC65" s="583">
        <f>IF($C65="--","--",'MIlk-Data Entry'!AM35)</f>
        <v>0</v>
      </c>
      <c r="AD65" s="583">
        <f>IF($C65="--","--",'MIlk-Data Entry'!AQ35)</f>
        <v>0</v>
      </c>
      <c r="AE65" s="584">
        <f>IF($C65="--","--",SUM(AB65:AD65))</f>
        <v>49.55</v>
      </c>
      <c r="AF65" s="583">
        <f>IF($C65="--","--",S65)</f>
        <v>0</v>
      </c>
      <c r="AG65" s="585">
        <f>IF($C65="--","--",SUM(AE65-AF65))</f>
        <v>49.55</v>
      </c>
      <c r="AH65" s="582">
        <f>IF($C65="--","--",AM63)</f>
        <v>29.748000000000001</v>
      </c>
      <c r="AI65" s="583">
        <f>IF($C65="--","--",'MIlk-Data Entry'!AO35)</f>
        <v>0</v>
      </c>
      <c r="AJ65" s="583">
        <f>IF($C65="--","--",'MIlk-Data Entry'!AS35)</f>
        <v>0</v>
      </c>
      <c r="AK65" s="584">
        <f>IF($C65="--","--",SUM(AH65:AJ65))</f>
        <v>29.748000000000001</v>
      </c>
      <c r="AL65" s="583">
        <f>IF($C65="--","--",V65)</f>
        <v>0</v>
      </c>
      <c r="AM65" s="585">
        <f>IF($C65="--","--",SUM(AK65-AL65))</f>
        <v>29.748000000000001</v>
      </c>
      <c r="AN65" s="1567"/>
      <c r="AO65" s="763"/>
      <c r="AP65" s="36">
        <f t="shared" si="201"/>
        <v>29.748000000000001</v>
      </c>
    </row>
    <row r="66" spans="1:42" s="37" customFormat="1" ht="22.5" customHeight="1" thickBot="1">
      <c r="A66" s="776"/>
      <c r="B66" s="1587"/>
      <c r="C66" s="1438"/>
      <c r="D66" s="1535"/>
      <c r="E66" s="1536"/>
      <c r="F66" s="1422"/>
      <c r="G66" s="1423"/>
      <c r="H66" s="1543"/>
      <c r="I66" s="1545"/>
      <c r="J66" s="1545"/>
      <c r="K66" s="1545"/>
      <c r="L66" s="1545"/>
      <c r="M66" s="1547"/>
      <c r="N66" s="1545"/>
      <c r="O66" s="1545"/>
      <c r="P66" s="1545"/>
      <c r="Q66" s="1547"/>
      <c r="R66" s="1547"/>
      <c r="S66" s="1574"/>
      <c r="T66" s="1574"/>
      <c r="U66" s="1576"/>
      <c r="V66" s="1574"/>
      <c r="W66" s="1574"/>
      <c r="X66" s="1576"/>
      <c r="Y66" s="1398"/>
      <c r="Z66" s="493">
        <f t="shared" si="13"/>
        <v>0</v>
      </c>
      <c r="AA66" s="473" t="str">
        <f>IF($C65="--","--","6 to 8")</f>
        <v>6 to 8</v>
      </c>
      <c r="AB66" s="586">
        <f>IF($C65="--","--",AG64)</f>
        <v>69.760000000000005</v>
      </c>
      <c r="AC66" s="587">
        <f>IF($C65="--","--",'MIlk-Data Entry'!AN35)</f>
        <v>0</v>
      </c>
      <c r="AD66" s="587">
        <f>IF($C65="--","--",'MIlk-Data Entry'!AR35)</f>
        <v>0</v>
      </c>
      <c r="AE66" s="588">
        <f>IF($C65="--","--",SUM(AB66:AD66))</f>
        <v>69.760000000000005</v>
      </c>
      <c r="AF66" s="587">
        <f>IF($C65="--","--",T65)</f>
        <v>0</v>
      </c>
      <c r="AG66" s="589">
        <f>IF($C65="--","--",SUM(AE66-AF66))</f>
        <v>69.760000000000005</v>
      </c>
      <c r="AH66" s="586">
        <f>IF($C65="--","--",AM64)</f>
        <v>39.877600000000001</v>
      </c>
      <c r="AI66" s="587">
        <f>IF($C65="--","--",'MIlk-Data Entry'!AP35)</f>
        <v>0</v>
      </c>
      <c r="AJ66" s="587">
        <f>IF($C65="--","--",'MIlk-Data Entry'!AT35)</f>
        <v>0</v>
      </c>
      <c r="AK66" s="588">
        <f>IF($C65="--","--",SUM(AH66:AJ66))</f>
        <v>39.877600000000001</v>
      </c>
      <c r="AL66" s="587">
        <f>IF($C65="--","--",W65)</f>
        <v>0</v>
      </c>
      <c r="AM66" s="589">
        <f>IF($C65="--","--",SUM(AK66-AL66))</f>
        <v>39.877600000000001</v>
      </c>
      <c r="AN66" s="1568"/>
      <c r="AO66" s="763"/>
      <c r="AP66" s="36"/>
    </row>
    <row r="67" spans="1:42" s="37" customFormat="1" ht="22.5" customHeight="1">
      <c r="A67" s="776"/>
      <c r="B67" s="1587">
        <f>IF(C67="--","--",'MIlk-Data Entry'!K36)</f>
        <v>0</v>
      </c>
      <c r="C67" s="1424">
        <f>'MIlk-Data Entry'!L36</f>
        <v>30</v>
      </c>
      <c r="D67" s="1425">
        <f>'MIlk-Data Entry'!M36</f>
        <v>45991</v>
      </c>
      <c r="E67" s="1426"/>
      <c r="F67" s="1537" t="str">
        <f>IF($C67="--","--",CONCATENATE('MIlk-Data Entry'!N36," ","(",'MIlk-Data Entry'!O36,")"))</f>
        <v>Sunday (रवि॰अव॰)</v>
      </c>
      <c r="G67" s="1538"/>
      <c r="H67" s="1583">
        <f>IF($C67="--","--",'MIlk-Data Entry'!AC36)</f>
        <v>0</v>
      </c>
      <c r="I67" s="1383">
        <f>IF($C67="--","--",'MIlk-Data Entry'!AD36)</f>
        <v>0</v>
      </c>
      <c r="J67" s="1383">
        <f>IF($C67="--","--",'MIlk-Data Entry'!AE36)</f>
        <v>0</v>
      </c>
      <c r="K67" s="1383">
        <f>IF($C67="--","--",'MIlk-Data Entry'!AF36)</f>
        <v>0</v>
      </c>
      <c r="L67" s="1383">
        <f>IF($C67="--","--",'MIlk-Data Entry'!AG36)</f>
        <v>0</v>
      </c>
      <c r="M67" s="1382">
        <f t="shared" ref="M67" si="258">IF($C67="--","--",SUM(H67:L67))</f>
        <v>0</v>
      </c>
      <c r="N67" s="1383">
        <f>IF($C67="--","--",'MIlk-Data Entry'!AI36)</f>
        <v>0</v>
      </c>
      <c r="O67" s="1383">
        <f>IF($C67="--","--",'MIlk-Data Entry'!AJ36)</f>
        <v>0</v>
      </c>
      <c r="P67" s="1383">
        <f>IF($C67="--","--",'MIlk-Data Entry'!AK36)</f>
        <v>0</v>
      </c>
      <c r="Q67" s="1382">
        <f>IF($C67="--","--",SUM(N67:P67))</f>
        <v>0</v>
      </c>
      <c r="R67" s="1585">
        <f t="shared" ref="R67" si="259">IF($C67="--","--",SUM(M67,Q67))</f>
        <v>0</v>
      </c>
      <c r="S67" s="1579">
        <f>IF($C67="--","--",M67*'School Info'!$C$21/1000)</f>
        <v>0</v>
      </c>
      <c r="T67" s="1579">
        <f>IF($C67="--","--",Q67*'School Info'!$E$21/1000)</f>
        <v>0</v>
      </c>
      <c r="U67" s="1581">
        <f t="shared" ref="U67" si="260">IF($C67="--","--",SUM(S67:T67))</f>
        <v>0</v>
      </c>
      <c r="V67" s="1579">
        <f>IF($C67="--","--",M67*'School Info'!$C$22/1000)</f>
        <v>0</v>
      </c>
      <c r="W67" s="1579">
        <f>IF($C67="--","--",Q67*'School Info'!$E$22/1000)</f>
        <v>0</v>
      </c>
      <c r="X67" s="1581">
        <f t="shared" ref="X67" si="261">IF($C67="--","--",SUM(V67:W67))</f>
        <v>0</v>
      </c>
      <c r="Y67" s="1532"/>
      <c r="Z67" s="492">
        <f t="shared" si="10"/>
        <v>0</v>
      </c>
      <c r="AA67" s="477" t="str">
        <f>IF($C67="--","--","1 to 5")</f>
        <v>1 to 5</v>
      </c>
      <c r="AB67" s="590">
        <f>IF($C67="--","--",AG65)</f>
        <v>49.55</v>
      </c>
      <c r="AC67" s="591">
        <f>IF($C67="--","--",'MIlk-Data Entry'!AM36)</f>
        <v>0</v>
      </c>
      <c r="AD67" s="591">
        <f>IF($C67="--","--",'MIlk-Data Entry'!AQ36)</f>
        <v>0</v>
      </c>
      <c r="AE67" s="592">
        <f>IF($C67="--","--",SUM(AB67:AD67))</f>
        <v>49.55</v>
      </c>
      <c r="AF67" s="591">
        <f>IF($C67="--","--",S67)</f>
        <v>0</v>
      </c>
      <c r="AG67" s="593">
        <f>IF($C67="--","--",SUM(AE67-AF67))</f>
        <v>49.55</v>
      </c>
      <c r="AH67" s="590">
        <f>IF($C67="--","--",AM65)</f>
        <v>29.748000000000001</v>
      </c>
      <c r="AI67" s="591">
        <f>IF($C67="--","--",'MIlk-Data Entry'!AO36)</f>
        <v>0</v>
      </c>
      <c r="AJ67" s="591">
        <f>IF($C67="--","--",'MIlk-Data Entry'!AS36)</f>
        <v>0</v>
      </c>
      <c r="AK67" s="592">
        <f>IF($C67="--","--",SUM(AH67:AJ67))</f>
        <v>29.748000000000001</v>
      </c>
      <c r="AL67" s="591">
        <f>IF($C67="--","--",V67)</f>
        <v>0</v>
      </c>
      <c r="AM67" s="593">
        <f>IF($C67="--","--",SUM(AK67-AL67))</f>
        <v>29.748000000000001</v>
      </c>
      <c r="AN67" s="1569"/>
      <c r="AO67" s="763"/>
      <c r="AP67" s="36">
        <f t="shared" si="201"/>
        <v>29.748000000000001</v>
      </c>
    </row>
    <row r="68" spans="1:42" s="37" customFormat="1" ht="22.5" customHeight="1" thickBot="1">
      <c r="A68" s="776"/>
      <c r="B68" s="1587"/>
      <c r="C68" s="1424"/>
      <c r="D68" s="1425"/>
      <c r="E68" s="1426"/>
      <c r="F68" s="1537"/>
      <c r="G68" s="1538"/>
      <c r="H68" s="1584"/>
      <c r="I68" s="1383"/>
      <c r="J68" s="1383"/>
      <c r="K68" s="1383"/>
      <c r="L68" s="1383"/>
      <c r="M68" s="1382"/>
      <c r="N68" s="1383"/>
      <c r="O68" s="1383"/>
      <c r="P68" s="1383"/>
      <c r="Q68" s="1382"/>
      <c r="R68" s="1586"/>
      <c r="S68" s="1580"/>
      <c r="T68" s="1580"/>
      <c r="U68" s="1582"/>
      <c r="V68" s="1580"/>
      <c r="W68" s="1580"/>
      <c r="X68" s="1582"/>
      <c r="Y68" s="1532"/>
      <c r="Z68" s="493">
        <f t="shared" si="13"/>
        <v>0</v>
      </c>
      <c r="AA68" s="478" t="str">
        <f>IF($C67="--","--","6 to 8")</f>
        <v>6 to 8</v>
      </c>
      <c r="AB68" s="594">
        <f>IF($C67="--","--",AG66)</f>
        <v>69.760000000000005</v>
      </c>
      <c r="AC68" s="595">
        <f>IF($C67="--","--",'MIlk-Data Entry'!AN36)</f>
        <v>0</v>
      </c>
      <c r="AD68" s="595">
        <f>IF($C67="--","--",'MIlk-Data Entry'!AR36)</f>
        <v>0</v>
      </c>
      <c r="AE68" s="596">
        <f>IF($C67="--","--",SUM(AB68:AD68))</f>
        <v>69.760000000000005</v>
      </c>
      <c r="AF68" s="595">
        <f>IF($C67="--","--",T67)</f>
        <v>0</v>
      </c>
      <c r="AG68" s="597">
        <f>IF($C67="--","--",SUM(AE68-AF68))</f>
        <v>69.760000000000005</v>
      </c>
      <c r="AH68" s="594">
        <f>IF($C67="--","--",AM66)</f>
        <v>39.877600000000001</v>
      </c>
      <c r="AI68" s="595">
        <f>IF($C67="--","--",'MIlk-Data Entry'!AP36)</f>
        <v>0</v>
      </c>
      <c r="AJ68" s="595">
        <f>IF($C67="--","--",'MIlk-Data Entry'!AT36)</f>
        <v>0</v>
      </c>
      <c r="AK68" s="596">
        <f>IF($C67="--","--",SUM(AH68:AJ68))</f>
        <v>39.877600000000001</v>
      </c>
      <c r="AL68" s="595">
        <f>IF($C67="--","--",W67)</f>
        <v>0</v>
      </c>
      <c r="AM68" s="597">
        <f>IF($C67="--","--",SUM(AK68-AL68))</f>
        <v>39.877600000000001</v>
      </c>
      <c r="AN68" s="1569"/>
      <c r="AO68" s="763"/>
      <c r="AP68" s="36"/>
    </row>
    <row r="69" spans="1:42" s="37" customFormat="1" ht="22.5" customHeight="1">
      <c r="A69" s="776"/>
      <c r="B69" s="1587" t="str">
        <f>IF(C69="--","--",'MIlk-Data Entry'!K37)</f>
        <v>--</v>
      </c>
      <c r="C69" s="1437" t="str">
        <f>'MIlk-Data Entry'!L37</f>
        <v>--</v>
      </c>
      <c r="D69" s="1533" t="str">
        <f>'MIlk-Data Entry'!M37</f>
        <v>---</v>
      </c>
      <c r="E69" s="1534"/>
      <c r="F69" s="1420" t="str">
        <f>IF($C69="--","--",CONCATENATE('MIlk-Data Entry'!N37," ","(",'MIlk-Data Entry'!O37,")"))</f>
        <v>--</v>
      </c>
      <c r="G69" s="1421"/>
      <c r="H69" s="1542" t="str">
        <f>IF($C69="--","--",'MIlk-Data Entry'!AC37)</f>
        <v>--</v>
      </c>
      <c r="I69" s="1544" t="str">
        <f>IF($C69="--","--",'MIlk-Data Entry'!AD37)</f>
        <v>--</v>
      </c>
      <c r="J69" s="1544" t="str">
        <f>IF($C69="--","--",'MIlk-Data Entry'!AE37)</f>
        <v>--</v>
      </c>
      <c r="K69" s="1544" t="str">
        <f>IF($C69="--","--",'MIlk-Data Entry'!AF37)</f>
        <v>--</v>
      </c>
      <c r="L69" s="1544" t="str">
        <f>IF($C69="--","--",'MIlk-Data Entry'!AG37)</f>
        <v>--</v>
      </c>
      <c r="M69" s="1546" t="str">
        <f t="shared" ref="M69" si="262">IF($C69="--","--",SUM(H69:L69))</f>
        <v>--</v>
      </c>
      <c r="N69" s="1544" t="str">
        <f>IF($C69="--","--",'MIlk-Data Entry'!AI37)</f>
        <v>--</v>
      </c>
      <c r="O69" s="1544" t="str">
        <f>IF($C69="--","--",'MIlk-Data Entry'!AJ37)</f>
        <v>--</v>
      </c>
      <c r="P69" s="1544" t="str">
        <f>IF($C69="--","--",'MIlk-Data Entry'!AK37)</f>
        <v>--</v>
      </c>
      <c r="Q69" s="1546" t="str">
        <f>IF($C69="--","--",SUM(N69:P69))</f>
        <v>--</v>
      </c>
      <c r="R69" s="1546" t="str">
        <f t="shared" ref="R69" si="263">IF($C69="--","--",SUM(M69,Q69))</f>
        <v>--</v>
      </c>
      <c r="S69" s="1573" t="str">
        <f>IF($C69="--","--",M69*'School Info'!$C$21/1000)</f>
        <v>--</v>
      </c>
      <c r="T69" s="1573" t="str">
        <f>IF($C69="--","--",Q69*'School Info'!$E$21/1000)</f>
        <v>--</v>
      </c>
      <c r="U69" s="1575" t="str">
        <f t="shared" ref="U69" si="264">IF($C69="--","--",SUM(S69:T69))</f>
        <v>--</v>
      </c>
      <c r="V69" s="1573" t="str">
        <f>IF($C69="--","--",M69*'School Info'!$C$22/1000)</f>
        <v>--</v>
      </c>
      <c r="W69" s="1573" t="str">
        <f>IF($C69="--","--",Q69*'School Info'!$E$22/1000)</f>
        <v>--</v>
      </c>
      <c r="X69" s="1575" t="str">
        <f t="shared" ref="X69" si="265">IF($C69="--","--",SUM(V69:W69))</f>
        <v>--</v>
      </c>
      <c r="Y69" s="1397"/>
      <c r="Z69" s="492" t="str">
        <f t="shared" si="10"/>
        <v>--</v>
      </c>
      <c r="AA69" s="380" t="str">
        <f>IF($C69="--","--","1 to 5")</f>
        <v>--</v>
      </c>
      <c r="AB69" s="582" t="str">
        <f>IF($C69="--","--",AG67)</f>
        <v>--</v>
      </c>
      <c r="AC69" s="583" t="str">
        <f>IF($C69="--","--",'MIlk-Data Entry'!AM37)</f>
        <v>--</v>
      </c>
      <c r="AD69" s="583" t="str">
        <f>IF($C69="--","--",'MIlk-Data Entry'!AQ37)</f>
        <v>--</v>
      </c>
      <c r="AE69" s="584" t="str">
        <f>IF($C69="--","--",SUM(AB69:AD69))</f>
        <v>--</v>
      </c>
      <c r="AF69" s="583" t="str">
        <f>IF($C69="--","--",S69)</f>
        <v>--</v>
      </c>
      <c r="AG69" s="585" t="str">
        <f>IF($C69="--","--",SUM(AE69-AF69))</f>
        <v>--</v>
      </c>
      <c r="AH69" s="582" t="str">
        <f>IF($C69="--","--",AM67)</f>
        <v>--</v>
      </c>
      <c r="AI69" s="583" t="str">
        <f>IF($C69="--","--",'MIlk-Data Entry'!AO37)</f>
        <v>--</v>
      </c>
      <c r="AJ69" s="583" t="str">
        <f>IF($C69="--","--",'MIlk-Data Entry'!AS37)</f>
        <v>--</v>
      </c>
      <c r="AK69" s="584" t="str">
        <f>IF($C69="--","--",SUM(AH69:AJ69))</f>
        <v>--</v>
      </c>
      <c r="AL69" s="583" t="str">
        <f>IF($C69="--","--",V69)</f>
        <v>--</v>
      </c>
      <c r="AM69" s="585" t="str">
        <f>IF($C69="--","--",SUM(AK69-AL69))</f>
        <v>--</v>
      </c>
      <c r="AN69" s="1567"/>
      <c r="AO69" s="763"/>
      <c r="AP69" s="36"/>
    </row>
    <row r="70" spans="1:42" s="37" customFormat="1" ht="22.5" customHeight="1" thickBot="1">
      <c r="A70" s="776"/>
      <c r="B70" s="1587"/>
      <c r="C70" s="1438"/>
      <c r="D70" s="1535"/>
      <c r="E70" s="1536"/>
      <c r="F70" s="1422"/>
      <c r="G70" s="1423"/>
      <c r="H70" s="1543"/>
      <c r="I70" s="1545"/>
      <c r="J70" s="1545"/>
      <c r="K70" s="1545"/>
      <c r="L70" s="1545"/>
      <c r="M70" s="1547"/>
      <c r="N70" s="1545"/>
      <c r="O70" s="1545"/>
      <c r="P70" s="1545"/>
      <c r="Q70" s="1547"/>
      <c r="R70" s="1547"/>
      <c r="S70" s="1574"/>
      <c r="T70" s="1574"/>
      <c r="U70" s="1576"/>
      <c r="V70" s="1574"/>
      <c r="W70" s="1574"/>
      <c r="X70" s="1576"/>
      <c r="Y70" s="1398"/>
      <c r="Z70" s="493" t="str">
        <f t="shared" si="13"/>
        <v>--</v>
      </c>
      <c r="AA70" s="473" t="str">
        <f>IF($C69="--","--","6 to 8")</f>
        <v>--</v>
      </c>
      <c r="AB70" s="586" t="str">
        <f>IF($C69="--","--",AG68)</f>
        <v>--</v>
      </c>
      <c r="AC70" s="587" t="str">
        <f>IF($C69="--","--",'MIlk-Data Entry'!AN37)</f>
        <v>--</v>
      </c>
      <c r="AD70" s="587" t="str">
        <f>IF($C69="--","--",'MIlk-Data Entry'!AR37)</f>
        <v>--</v>
      </c>
      <c r="AE70" s="588" t="str">
        <f>IF($C69="--","--",SUM(AB70:AD70))</f>
        <v>--</v>
      </c>
      <c r="AF70" s="587" t="str">
        <f>IF($C69="--","--",T69)</f>
        <v>--</v>
      </c>
      <c r="AG70" s="589" t="str">
        <f>IF($C69="--","--",SUM(AE70-AF70))</f>
        <v>--</v>
      </c>
      <c r="AH70" s="586" t="str">
        <f>IF($C69="--","--",AM68)</f>
        <v>--</v>
      </c>
      <c r="AI70" s="587" t="str">
        <f>IF($C69="--","--",'MIlk-Data Entry'!AP37)</f>
        <v>--</v>
      </c>
      <c r="AJ70" s="587" t="str">
        <f>IF($C69="--","--",'MIlk-Data Entry'!AT37)</f>
        <v>--</v>
      </c>
      <c r="AK70" s="588" t="str">
        <f>IF($C69="--","--",SUM(AH70:AJ70))</f>
        <v>--</v>
      </c>
      <c r="AL70" s="587" t="str">
        <f>IF($C69="--","--",W69)</f>
        <v>--</v>
      </c>
      <c r="AM70" s="589" t="str">
        <f>IF($C69="--","--",SUM(AK70-AL70))</f>
        <v>--</v>
      </c>
      <c r="AN70" s="1568"/>
      <c r="AO70" s="763"/>
      <c r="AP70" s="36" t="e">
        <f t="shared" ref="AP70" si="266">P70+Q70+AH70+AI70</f>
        <v>#VALUE!</v>
      </c>
    </row>
    <row r="71" spans="1:42" s="37" customFormat="1" ht="32.25" customHeight="1" thickBot="1">
      <c r="A71" s="776"/>
      <c r="B71" s="381"/>
      <c r="C71" s="1430" t="s">
        <v>435</v>
      </c>
      <c r="D71" s="1431"/>
      <c r="E71" s="1431"/>
      <c r="F71" s="1431"/>
      <c r="G71" s="1431"/>
      <c r="H71" s="1431"/>
      <c r="I71" s="1431"/>
      <c r="J71" s="1431"/>
      <c r="K71" s="1431"/>
      <c r="L71" s="1431"/>
      <c r="M71" s="1431"/>
      <c r="N71" s="1431"/>
      <c r="O71" s="1431"/>
      <c r="P71" s="1431"/>
      <c r="Q71" s="1431"/>
      <c r="R71" s="1431"/>
      <c r="S71" s="1431"/>
      <c r="T71" s="1431"/>
      <c r="U71" s="1431"/>
      <c r="V71" s="1431"/>
      <c r="W71" s="1431"/>
      <c r="X71" s="1432"/>
      <c r="Y71" s="1392" t="s">
        <v>436</v>
      </c>
      <c r="Z71" s="1393"/>
      <c r="AA71" s="1393"/>
      <c r="AB71" s="1393"/>
      <c r="AC71" s="1393"/>
      <c r="AD71" s="1393"/>
      <c r="AE71" s="1393"/>
      <c r="AF71" s="1393"/>
      <c r="AG71" s="1393"/>
      <c r="AH71" s="1393"/>
      <c r="AI71" s="1393"/>
      <c r="AJ71" s="1393"/>
      <c r="AK71" s="1393"/>
      <c r="AL71" s="1393"/>
      <c r="AM71" s="1393"/>
      <c r="AN71" s="1394"/>
      <c r="AO71" s="763"/>
      <c r="AP71" s="36"/>
    </row>
    <row r="72" spans="1:42" s="46" customFormat="1" ht="21" customHeight="1">
      <c r="A72" s="776"/>
      <c r="B72" s="375"/>
      <c r="C72" s="1370" t="s">
        <v>437</v>
      </c>
      <c r="D72" s="1371"/>
      <c r="E72" s="1371"/>
      <c r="F72" s="1371"/>
      <c r="G72" s="1372"/>
      <c r="H72" s="1368" t="s">
        <v>206</v>
      </c>
      <c r="I72" s="1368"/>
      <c r="J72" s="1368"/>
      <c r="K72" s="1368"/>
      <c r="L72" s="1368"/>
      <c r="M72" s="1368"/>
      <c r="N72" s="1369" t="s">
        <v>208</v>
      </c>
      <c r="O72" s="1369"/>
      <c r="P72" s="1369"/>
      <c r="Q72" s="1369"/>
      <c r="R72" s="1433" t="s">
        <v>209</v>
      </c>
      <c r="S72" s="1379" t="s">
        <v>210</v>
      </c>
      <c r="T72" s="1380"/>
      <c r="U72" s="1436"/>
      <c r="V72" s="1379" t="s">
        <v>212</v>
      </c>
      <c r="W72" s="1380"/>
      <c r="X72" s="1381"/>
      <c r="Y72" s="1365" t="s">
        <v>434</v>
      </c>
      <c r="Z72" s="489"/>
      <c r="AA72" s="1428" t="s">
        <v>433</v>
      </c>
      <c r="AB72" s="1386" t="s">
        <v>214</v>
      </c>
      <c r="AC72" s="1387"/>
      <c r="AD72" s="1387"/>
      <c r="AE72" s="1387"/>
      <c r="AF72" s="1387"/>
      <c r="AG72" s="1388"/>
      <c r="AH72" s="1386" t="s">
        <v>218</v>
      </c>
      <c r="AI72" s="1387"/>
      <c r="AJ72" s="1387"/>
      <c r="AK72" s="1387"/>
      <c r="AL72" s="1387"/>
      <c r="AM72" s="1388"/>
      <c r="AN72" s="1560" t="s">
        <v>124</v>
      </c>
      <c r="AO72" s="763"/>
    </row>
    <row r="73" spans="1:42" ht="20.25" customHeight="1">
      <c r="A73" s="776"/>
      <c r="B73" s="375"/>
      <c r="C73" s="1373"/>
      <c r="D73" s="1374"/>
      <c r="E73" s="1374"/>
      <c r="F73" s="1374"/>
      <c r="G73" s="1375"/>
      <c r="H73" s="114" t="s">
        <v>207</v>
      </c>
      <c r="I73" s="114" t="s">
        <v>207</v>
      </c>
      <c r="J73" s="114" t="s">
        <v>207</v>
      </c>
      <c r="K73" s="114" t="s">
        <v>207</v>
      </c>
      <c r="L73" s="114" t="s">
        <v>207</v>
      </c>
      <c r="M73" s="1348" t="s">
        <v>130</v>
      </c>
      <c r="N73" s="114" t="s">
        <v>207</v>
      </c>
      <c r="O73" s="114" t="s">
        <v>207</v>
      </c>
      <c r="P73" s="114" t="s">
        <v>207</v>
      </c>
      <c r="Q73" s="1348" t="s">
        <v>130</v>
      </c>
      <c r="R73" s="1434"/>
      <c r="S73" s="487" t="str">
        <f>S7</f>
        <v>कक्षा 1 से 5</v>
      </c>
      <c r="T73" s="451" t="str">
        <f>T7</f>
        <v>कक्षा 6 से 8</v>
      </c>
      <c r="U73" s="1384" t="s">
        <v>211</v>
      </c>
      <c r="V73" s="487" t="str">
        <f>V7</f>
        <v>कक्षा 1 से 5</v>
      </c>
      <c r="W73" s="451" t="str">
        <f>W7</f>
        <v>कक्षा 6 से 8</v>
      </c>
      <c r="X73" s="1384" t="s">
        <v>211</v>
      </c>
      <c r="Y73" s="1366"/>
      <c r="Z73" s="490"/>
      <c r="AA73" s="1340"/>
      <c r="AB73" s="1335" t="s">
        <v>215</v>
      </c>
      <c r="AC73" s="1337" t="s">
        <v>216</v>
      </c>
      <c r="AD73" s="1335" t="s">
        <v>221</v>
      </c>
      <c r="AE73" s="1339" t="s">
        <v>130</v>
      </c>
      <c r="AF73" s="1335" t="s">
        <v>442</v>
      </c>
      <c r="AG73" s="1363" t="s">
        <v>217</v>
      </c>
      <c r="AH73" s="1335" t="s">
        <v>215</v>
      </c>
      <c r="AI73" s="1335" t="s">
        <v>219</v>
      </c>
      <c r="AJ73" s="1335" t="s">
        <v>221</v>
      </c>
      <c r="AK73" s="1339" t="s">
        <v>130</v>
      </c>
      <c r="AL73" s="1335" t="s">
        <v>442</v>
      </c>
      <c r="AM73" s="1363" t="s">
        <v>217</v>
      </c>
      <c r="AN73" s="1512"/>
      <c r="AO73" s="763"/>
    </row>
    <row r="74" spans="1:42" ht="24.75" customHeight="1" thickBot="1">
      <c r="A74" s="776"/>
      <c r="B74" s="375"/>
      <c r="C74" s="1376" t="str">
        <f>'MIlk-Data Entry'!AQ3</f>
        <v>November-2025</v>
      </c>
      <c r="D74" s="1377"/>
      <c r="E74" s="1377"/>
      <c r="F74" s="1377"/>
      <c r="G74" s="1378"/>
      <c r="H74" s="378">
        <v>1</v>
      </c>
      <c r="I74" s="378">
        <v>2</v>
      </c>
      <c r="J74" s="378">
        <v>3</v>
      </c>
      <c r="K74" s="378">
        <v>4</v>
      </c>
      <c r="L74" s="378">
        <v>5</v>
      </c>
      <c r="M74" s="1349"/>
      <c r="N74" s="378">
        <v>6</v>
      </c>
      <c r="O74" s="378">
        <v>7</v>
      </c>
      <c r="P74" s="378">
        <v>8</v>
      </c>
      <c r="Q74" s="1349"/>
      <c r="R74" s="1435"/>
      <c r="S74" s="485" t="str">
        <f>S8</f>
        <v>(15 ग्राम/विद्यार्थी)</v>
      </c>
      <c r="T74" s="485" t="str">
        <f>T8</f>
        <v>(20 ग्राम/विद्यार्थी)</v>
      </c>
      <c r="U74" s="1427"/>
      <c r="V74" s="485" t="str">
        <f ca="1">V8</f>
        <v>(8 ग्राम/विद्यार्थी)</v>
      </c>
      <c r="W74" s="485" t="str">
        <f ca="1">W8</f>
        <v>(12 ग्राम/विद्यार्थी)</v>
      </c>
      <c r="X74" s="1427"/>
      <c r="Y74" s="1366"/>
      <c r="Z74" s="490"/>
      <c r="AA74" s="1429"/>
      <c r="AB74" s="1336"/>
      <c r="AC74" s="1338"/>
      <c r="AD74" s="1336"/>
      <c r="AE74" s="1340"/>
      <c r="AF74" s="1336"/>
      <c r="AG74" s="1364"/>
      <c r="AH74" s="1336"/>
      <c r="AI74" s="1336"/>
      <c r="AJ74" s="1336"/>
      <c r="AK74" s="1340"/>
      <c r="AL74" s="1336"/>
      <c r="AM74" s="1364"/>
      <c r="AN74" s="1513"/>
      <c r="AO74" s="763"/>
    </row>
    <row r="75" spans="1:42" s="37" customFormat="1" ht="42.75" customHeight="1">
      <c r="A75" s="776"/>
      <c r="B75" s="269"/>
      <c r="C75" s="1405" t="s">
        <v>220</v>
      </c>
      <c r="D75" s="1406"/>
      <c r="E75" s="1406"/>
      <c r="F75" s="1406"/>
      <c r="G75" s="1406"/>
      <c r="H75" s="1411">
        <f>SUM(H9:H70)</f>
        <v>10</v>
      </c>
      <c r="I75" s="1411">
        <f t="shared" ref="I75:K75" si="267">SUM(I9:I70)</f>
        <v>7</v>
      </c>
      <c r="J75" s="1411">
        <f t="shared" si="267"/>
        <v>2</v>
      </c>
      <c r="K75" s="1411">
        <f t="shared" si="267"/>
        <v>3</v>
      </c>
      <c r="L75" s="1411">
        <f>SUM(L9:L70)</f>
        <v>8</v>
      </c>
      <c r="M75" s="1402">
        <f>SUM(M9:M70)</f>
        <v>30</v>
      </c>
      <c r="N75" s="1411">
        <f>SUM(N9:N70)</f>
        <v>5</v>
      </c>
      <c r="O75" s="1411">
        <f t="shared" ref="O75:R75" si="268">SUM(O9:O70)</f>
        <v>7</v>
      </c>
      <c r="P75" s="1411">
        <f t="shared" si="268"/>
        <v>0</v>
      </c>
      <c r="Q75" s="1561">
        <f t="shared" si="268"/>
        <v>12</v>
      </c>
      <c r="R75" s="1564">
        <f t="shared" si="268"/>
        <v>42</v>
      </c>
      <c r="S75" s="1414">
        <f t="shared" ref="S75:X75" si="269">SUM(S9:S70)</f>
        <v>0.45</v>
      </c>
      <c r="T75" s="1414">
        <f t="shared" si="269"/>
        <v>0.24</v>
      </c>
      <c r="U75" s="1414">
        <f t="shared" si="269"/>
        <v>0.69</v>
      </c>
      <c r="V75" s="1414">
        <f t="shared" si="269"/>
        <v>0.252</v>
      </c>
      <c r="W75" s="1414">
        <f t="shared" si="269"/>
        <v>0.12239999999999999</v>
      </c>
      <c r="X75" s="1417">
        <f t="shared" si="269"/>
        <v>0.37440000000000001</v>
      </c>
      <c r="Y75" s="1366"/>
      <c r="Z75" s="490"/>
      <c r="AA75" s="483" t="s">
        <v>254</v>
      </c>
      <c r="AB75" s="600">
        <f>AB9</f>
        <v>50</v>
      </c>
      <c r="AC75" s="600">
        <f>'MIlk-Data Entry'!AM38</f>
        <v>0</v>
      </c>
      <c r="AD75" s="600">
        <f>'MIlk-Data Entry'!AQ38</f>
        <v>0</v>
      </c>
      <c r="AE75" s="600">
        <f t="shared" si="0"/>
        <v>50</v>
      </c>
      <c r="AF75" s="600">
        <f>S75</f>
        <v>0.45</v>
      </c>
      <c r="AG75" s="601">
        <f>SUM(AE75-AF75)</f>
        <v>49.55</v>
      </c>
      <c r="AH75" s="600">
        <f>AH9</f>
        <v>30</v>
      </c>
      <c r="AI75" s="600">
        <f>'MIlk-Data Entry'!AO38</f>
        <v>0</v>
      </c>
      <c r="AJ75" s="600">
        <f>'MIlk-Data Entry'!AS38</f>
        <v>0</v>
      </c>
      <c r="AK75" s="600">
        <f>SUM(AH75:AJ75)</f>
        <v>30</v>
      </c>
      <c r="AL75" s="600">
        <f>V75</f>
        <v>0.252</v>
      </c>
      <c r="AM75" s="602">
        <f t="shared" si="3"/>
        <v>29.748000000000001</v>
      </c>
      <c r="AN75" s="1557"/>
      <c r="AO75" s="763"/>
      <c r="AP75" s="36">
        <f>P75+Q75+AH75+AI75</f>
        <v>42</v>
      </c>
    </row>
    <row r="76" spans="1:42" s="37" customFormat="1" ht="42.75" customHeight="1">
      <c r="A76" s="776"/>
      <c r="B76" s="269"/>
      <c r="C76" s="1407"/>
      <c r="D76" s="1408"/>
      <c r="E76" s="1408"/>
      <c r="F76" s="1408"/>
      <c r="G76" s="1408"/>
      <c r="H76" s="1412"/>
      <c r="I76" s="1412"/>
      <c r="J76" s="1412"/>
      <c r="K76" s="1412"/>
      <c r="L76" s="1412"/>
      <c r="M76" s="1403"/>
      <c r="N76" s="1412"/>
      <c r="O76" s="1412"/>
      <c r="P76" s="1412"/>
      <c r="Q76" s="1562"/>
      <c r="R76" s="1565"/>
      <c r="S76" s="1415"/>
      <c r="T76" s="1415"/>
      <c r="U76" s="1415"/>
      <c r="V76" s="1415"/>
      <c r="W76" s="1415"/>
      <c r="X76" s="1418"/>
      <c r="Y76" s="1366"/>
      <c r="Z76" s="490"/>
      <c r="AA76" s="484" t="s">
        <v>255</v>
      </c>
      <c r="AB76" s="603">
        <f>AB10</f>
        <v>70</v>
      </c>
      <c r="AC76" s="603">
        <f>'MIlk-Data Entry'!AN38</f>
        <v>0</v>
      </c>
      <c r="AD76" s="603">
        <f>'MIlk-Data Entry'!AR38</f>
        <v>0</v>
      </c>
      <c r="AE76" s="603">
        <f t="shared" si="0"/>
        <v>70</v>
      </c>
      <c r="AF76" s="603">
        <f>T75</f>
        <v>0.24</v>
      </c>
      <c r="AG76" s="604">
        <f t="shared" si="1"/>
        <v>69.760000000000005</v>
      </c>
      <c r="AH76" s="603">
        <f>AH10</f>
        <v>40</v>
      </c>
      <c r="AI76" s="603">
        <f>'MIlk-Data Entry'!AP38</f>
        <v>0</v>
      </c>
      <c r="AJ76" s="603">
        <f>'MIlk-Data Entry'!AT38</f>
        <v>0</v>
      </c>
      <c r="AK76" s="603">
        <f t="shared" si="2"/>
        <v>40</v>
      </c>
      <c r="AL76" s="603">
        <f>W75</f>
        <v>0.12239999999999999</v>
      </c>
      <c r="AM76" s="605">
        <f t="shared" si="3"/>
        <v>39.877600000000001</v>
      </c>
      <c r="AN76" s="1558"/>
      <c r="AO76" s="763"/>
      <c r="AP76" s="36"/>
    </row>
    <row r="77" spans="1:42" s="37" customFormat="1" ht="45" customHeight="1" thickBot="1">
      <c r="A77" s="776"/>
      <c r="B77" s="269"/>
      <c r="C77" s="1409"/>
      <c r="D77" s="1410"/>
      <c r="E77" s="1410"/>
      <c r="F77" s="1410"/>
      <c r="G77" s="1410"/>
      <c r="H77" s="1413"/>
      <c r="I77" s="1413"/>
      <c r="J77" s="1413"/>
      <c r="K77" s="1413"/>
      <c r="L77" s="1413"/>
      <c r="M77" s="1404"/>
      <c r="N77" s="1413"/>
      <c r="O77" s="1413"/>
      <c r="P77" s="1413"/>
      <c r="Q77" s="1563"/>
      <c r="R77" s="1566"/>
      <c r="S77" s="1416"/>
      <c r="T77" s="1416"/>
      <c r="U77" s="1416"/>
      <c r="V77" s="1416"/>
      <c r="W77" s="1416"/>
      <c r="X77" s="1419"/>
      <c r="Y77" s="1367"/>
      <c r="Z77" s="491"/>
      <c r="AA77" s="482" t="s">
        <v>260</v>
      </c>
      <c r="AB77" s="606">
        <f>SUM(AB75:AB76)</f>
        <v>120</v>
      </c>
      <c r="AC77" s="606">
        <f t="shared" ref="AC77:AM77" si="270">SUM(AC75:AC76)</f>
        <v>0</v>
      </c>
      <c r="AD77" s="606">
        <f t="shared" si="270"/>
        <v>0</v>
      </c>
      <c r="AE77" s="606">
        <f t="shared" si="270"/>
        <v>120</v>
      </c>
      <c r="AF77" s="606">
        <f t="shared" si="270"/>
        <v>0.69</v>
      </c>
      <c r="AG77" s="606">
        <f t="shared" si="270"/>
        <v>119.31</v>
      </c>
      <c r="AH77" s="606">
        <f t="shared" si="270"/>
        <v>70</v>
      </c>
      <c r="AI77" s="606">
        <f t="shared" si="270"/>
        <v>0</v>
      </c>
      <c r="AJ77" s="606">
        <f t="shared" si="270"/>
        <v>0</v>
      </c>
      <c r="AK77" s="606">
        <f t="shared" si="270"/>
        <v>70</v>
      </c>
      <c r="AL77" s="606">
        <f t="shared" si="270"/>
        <v>0.37440000000000001</v>
      </c>
      <c r="AM77" s="607">
        <f t="shared" si="270"/>
        <v>69.625600000000006</v>
      </c>
      <c r="AN77" s="1559"/>
      <c r="AO77" s="763"/>
      <c r="AP77" s="36"/>
    </row>
    <row r="78" spans="1:42" s="117" customFormat="1" ht="24.75" customHeight="1" thickBot="1">
      <c r="A78" s="776"/>
      <c r="B78" s="269"/>
      <c r="C78" s="1391"/>
      <c r="D78" s="1391"/>
      <c r="E78" s="1391"/>
      <c r="F78" s="1391"/>
      <c r="G78" s="1391"/>
      <c r="H78" s="1391"/>
      <c r="I78" s="1391"/>
      <c r="J78" s="1391"/>
      <c r="K78" s="1391"/>
      <c r="L78" s="1391"/>
      <c r="M78" s="1391"/>
      <c r="N78" s="1391"/>
      <c r="O78" s="1391"/>
      <c r="P78" s="1391"/>
      <c r="Q78" s="1391"/>
      <c r="R78" s="1391"/>
      <c r="S78" s="1391"/>
      <c r="T78" s="1391"/>
      <c r="U78" s="1391"/>
      <c r="V78" s="1391"/>
      <c r="W78" s="1391"/>
      <c r="X78" s="1391"/>
      <c r="Y78" s="1391"/>
      <c r="Z78" s="1391"/>
      <c r="AA78" s="1391"/>
      <c r="AB78" s="1391"/>
      <c r="AC78" s="1391"/>
      <c r="AD78" s="1391"/>
      <c r="AE78" s="1391"/>
      <c r="AF78" s="1391"/>
      <c r="AG78" s="1391"/>
      <c r="AH78" s="1391"/>
      <c r="AI78" s="1391"/>
      <c r="AJ78" s="1391"/>
      <c r="AK78" s="1391"/>
      <c r="AL78" s="1391"/>
      <c r="AM78" s="1391"/>
      <c r="AN78" s="1391"/>
      <c r="AO78" s="763"/>
      <c r="AP78" s="116"/>
    </row>
    <row r="79" spans="1:42" s="117" customFormat="1" ht="19.5" customHeight="1" thickBot="1">
      <c r="A79" s="776"/>
      <c r="B79" s="269"/>
      <c r="C79" s="1500" t="s">
        <v>222</v>
      </c>
      <c r="D79" s="1501"/>
      <c r="E79" s="1501"/>
      <c r="F79" s="1501"/>
      <c r="G79" s="1501"/>
      <c r="H79" s="1501"/>
      <c r="I79" s="1501"/>
      <c r="J79" s="1501"/>
      <c r="K79" s="1501"/>
      <c r="L79" s="1501"/>
      <c r="M79" s="1501"/>
      <c r="N79" s="1501"/>
      <c r="O79" s="1501"/>
      <c r="P79" s="1501"/>
      <c r="Q79" s="1501"/>
      <c r="R79" s="1501"/>
      <c r="S79" s="1501"/>
      <c r="T79" s="1502"/>
      <c r="U79" s="1442"/>
      <c r="V79" s="1455" t="s">
        <v>230</v>
      </c>
      <c r="W79" s="1456"/>
      <c r="X79" s="1456"/>
      <c r="Y79" s="1456"/>
      <c r="Z79" s="1456"/>
      <c r="AA79" s="1456"/>
      <c r="AB79" s="1456"/>
      <c r="AC79" s="1456"/>
      <c r="AD79" s="1457"/>
      <c r="AE79" s="1442"/>
      <c r="AF79" s="1455" t="s">
        <v>240</v>
      </c>
      <c r="AG79" s="1456"/>
      <c r="AH79" s="1456"/>
      <c r="AI79" s="1457"/>
      <c r="AJ79" s="1442"/>
      <c r="AK79" s="1449" t="s">
        <v>244</v>
      </c>
      <c r="AL79" s="1450"/>
      <c r="AM79" s="1450"/>
      <c r="AN79" s="1451"/>
      <c r="AO79" s="763"/>
      <c r="AP79" s="116"/>
    </row>
    <row r="80" spans="1:42" s="117" customFormat="1" ht="18.75" customHeight="1">
      <c r="A80" s="776"/>
      <c r="B80" s="269"/>
      <c r="C80" s="1507" t="s">
        <v>122</v>
      </c>
      <c r="D80" s="1505" t="s">
        <v>223</v>
      </c>
      <c r="E80" s="1505"/>
      <c r="F80" s="1505"/>
      <c r="G80" s="1505"/>
      <c r="H80" s="1505"/>
      <c r="I80" s="1496" t="s">
        <v>224</v>
      </c>
      <c r="J80" s="1496"/>
      <c r="K80" s="1496" t="s">
        <v>225</v>
      </c>
      <c r="L80" s="1496"/>
      <c r="M80" s="1496"/>
      <c r="N80" s="1496"/>
      <c r="O80" s="1496"/>
      <c r="P80" s="1496"/>
      <c r="Q80" s="1496" t="s">
        <v>228</v>
      </c>
      <c r="R80" s="1496"/>
      <c r="S80" s="1496" t="s">
        <v>229</v>
      </c>
      <c r="T80" s="1497"/>
      <c r="U80" s="1442"/>
      <c r="V80" s="1480" t="s">
        <v>231</v>
      </c>
      <c r="W80" s="1484" t="s">
        <v>232</v>
      </c>
      <c r="X80" s="1484"/>
      <c r="Y80" s="1482" t="s">
        <v>438</v>
      </c>
      <c r="Z80" s="452"/>
      <c r="AA80" s="1482" t="s">
        <v>439</v>
      </c>
      <c r="AB80" s="1484" t="s">
        <v>233</v>
      </c>
      <c r="AC80" s="1484" t="s">
        <v>234</v>
      </c>
      <c r="AD80" s="1486" t="s">
        <v>235</v>
      </c>
      <c r="AE80" s="1442"/>
      <c r="AF80" s="1458"/>
      <c r="AG80" s="1459"/>
      <c r="AH80" s="1459"/>
      <c r="AI80" s="1460"/>
      <c r="AJ80" s="1442"/>
      <c r="AK80" s="1452"/>
      <c r="AL80" s="1453"/>
      <c r="AM80" s="1453"/>
      <c r="AN80" s="1454"/>
      <c r="AO80" s="763"/>
      <c r="AP80" s="116"/>
    </row>
    <row r="81" spans="1:42" s="117" customFormat="1" ht="20.25" customHeight="1" thickBot="1">
      <c r="A81" s="776"/>
      <c r="B81" s="269"/>
      <c r="C81" s="1508"/>
      <c r="D81" s="1506"/>
      <c r="E81" s="1506"/>
      <c r="F81" s="1506"/>
      <c r="G81" s="1506"/>
      <c r="H81" s="1506"/>
      <c r="I81" s="1498"/>
      <c r="J81" s="1498"/>
      <c r="K81" s="1498" t="s">
        <v>226</v>
      </c>
      <c r="L81" s="1498"/>
      <c r="M81" s="1509" t="s">
        <v>227</v>
      </c>
      <c r="N81" s="1510"/>
      <c r="O81" s="1498" t="s">
        <v>130</v>
      </c>
      <c r="P81" s="1498"/>
      <c r="Q81" s="1498"/>
      <c r="R81" s="1498"/>
      <c r="S81" s="1498"/>
      <c r="T81" s="1499"/>
      <c r="U81" s="1442"/>
      <c r="V81" s="1481"/>
      <c r="W81" s="1485"/>
      <c r="X81" s="1485"/>
      <c r="Y81" s="1483"/>
      <c r="Z81" s="453"/>
      <c r="AA81" s="1483"/>
      <c r="AB81" s="1485"/>
      <c r="AC81" s="1485"/>
      <c r="AD81" s="1487"/>
      <c r="AE81" s="1442"/>
      <c r="AF81" s="1461"/>
      <c r="AG81" s="1462"/>
      <c r="AH81" s="1462"/>
      <c r="AI81" s="1463"/>
      <c r="AJ81" s="1442"/>
      <c r="AK81" s="1443"/>
      <c r="AL81" s="1444"/>
      <c r="AM81" s="1444"/>
      <c r="AN81" s="1445"/>
      <c r="AO81" s="763"/>
      <c r="AP81" s="116"/>
    </row>
    <row r="82" spans="1:42" s="117" customFormat="1" ht="16.5" customHeight="1">
      <c r="A82" s="776"/>
      <c r="B82" s="269"/>
      <c r="C82" s="475">
        <f>MPR!B46</f>
        <v>1</v>
      </c>
      <c r="D82" s="1503" t="str">
        <f>MPR!D46</f>
        <v>Bhanwari Devi</v>
      </c>
      <c r="E82" s="1503"/>
      <c r="F82" s="1503"/>
      <c r="G82" s="1503"/>
      <c r="H82" s="1503"/>
      <c r="I82" s="1496" t="str">
        <f>MPR!I46</f>
        <v>OBC</v>
      </c>
      <c r="J82" s="1496"/>
      <c r="K82" s="1466"/>
      <c r="L82" s="1466"/>
      <c r="M82" s="1466"/>
      <c r="N82" s="1466"/>
      <c r="O82" s="1496">
        <f>K82+M82</f>
        <v>0</v>
      </c>
      <c r="P82" s="1496"/>
      <c r="Q82" s="1466"/>
      <c r="R82" s="1466"/>
      <c r="S82" s="1496">
        <f>O82-Q82</f>
        <v>0</v>
      </c>
      <c r="T82" s="1497"/>
      <c r="U82" s="1442"/>
      <c r="V82" s="120" t="s">
        <v>236</v>
      </c>
      <c r="W82" s="1488"/>
      <c r="X82" s="1489"/>
      <c r="Y82" s="124"/>
      <c r="Z82" s="124"/>
      <c r="AA82" s="124"/>
      <c r="AB82" s="608">
        <v>0</v>
      </c>
      <c r="AC82" s="128"/>
      <c r="AD82" s="127">
        <f>AB82*AC82</f>
        <v>0</v>
      </c>
      <c r="AE82" s="1442"/>
      <c r="AF82" s="1464" t="s">
        <v>241</v>
      </c>
      <c r="AG82" s="1465"/>
      <c r="AH82" s="1466"/>
      <c r="AI82" s="1467"/>
      <c r="AJ82" s="1442"/>
      <c r="AK82" s="1443"/>
      <c r="AL82" s="1444"/>
      <c r="AM82" s="1444"/>
      <c r="AN82" s="1445"/>
      <c r="AO82" s="763"/>
      <c r="AP82" s="116"/>
    </row>
    <row r="83" spans="1:42" s="117" customFormat="1" ht="16.5" customHeight="1">
      <c r="A83" s="776"/>
      <c r="B83" s="269"/>
      <c r="C83" s="476">
        <f>MPR!B47</f>
        <v>2</v>
      </c>
      <c r="D83" s="1504" t="str">
        <f>MPR!D47</f>
        <v>Devi</v>
      </c>
      <c r="E83" s="1504"/>
      <c r="F83" s="1504"/>
      <c r="G83" s="1504"/>
      <c r="H83" s="1504"/>
      <c r="I83" s="1494" t="str">
        <f>MPR!I47</f>
        <v>SC</v>
      </c>
      <c r="J83" s="1494"/>
      <c r="K83" s="1470"/>
      <c r="L83" s="1470"/>
      <c r="M83" s="1470"/>
      <c r="N83" s="1470"/>
      <c r="O83" s="1494">
        <f t="shared" ref="O83:O86" si="271">K83+M83</f>
        <v>0</v>
      </c>
      <c r="P83" s="1494"/>
      <c r="Q83" s="1470"/>
      <c r="R83" s="1470"/>
      <c r="S83" s="1494">
        <f t="shared" ref="S83:S86" si="272">O83-Q83</f>
        <v>0</v>
      </c>
      <c r="T83" s="1495"/>
      <c r="U83" s="1442"/>
      <c r="V83" s="121" t="s">
        <v>202</v>
      </c>
      <c r="W83" s="1490"/>
      <c r="X83" s="1491"/>
      <c r="Y83" s="125"/>
      <c r="Z83" s="125"/>
      <c r="AA83" s="125"/>
      <c r="AB83" s="609"/>
      <c r="AC83" s="129"/>
      <c r="AD83" s="118">
        <f t="shared" ref="AD83:AD87" si="273">AB83*AC83</f>
        <v>0</v>
      </c>
      <c r="AE83" s="1442"/>
      <c r="AF83" s="1468" t="s">
        <v>242</v>
      </c>
      <c r="AG83" s="1469"/>
      <c r="AH83" s="1470"/>
      <c r="AI83" s="1471"/>
      <c r="AJ83" s="1442"/>
      <c r="AK83" s="1443"/>
      <c r="AL83" s="1444"/>
      <c r="AM83" s="1444"/>
      <c r="AN83" s="1445"/>
      <c r="AO83" s="763"/>
      <c r="AP83" s="116"/>
    </row>
    <row r="84" spans="1:42" s="117" customFormat="1" ht="16.5" customHeight="1">
      <c r="A84" s="776"/>
      <c r="B84" s="269"/>
      <c r="C84" s="476">
        <f>MPR!B48</f>
        <v>0</v>
      </c>
      <c r="D84" s="1504">
        <f>MPR!D48</f>
        <v>0</v>
      </c>
      <c r="E84" s="1504"/>
      <c r="F84" s="1504"/>
      <c r="G84" s="1504"/>
      <c r="H84" s="1504"/>
      <c r="I84" s="1494">
        <f>MPR!I48</f>
        <v>0</v>
      </c>
      <c r="J84" s="1494"/>
      <c r="K84" s="1470"/>
      <c r="L84" s="1470"/>
      <c r="M84" s="1470"/>
      <c r="N84" s="1470"/>
      <c r="O84" s="1494">
        <f t="shared" si="271"/>
        <v>0</v>
      </c>
      <c r="P84" s="1494"/>
      <c r="Q84" s="1470"/>
      <c r="R84" s="1470"/>
      <c r="S84" s="1494">
        <f t="shared" si="272"/>
        <v>0</v>
      </c>
      <c r="T84" s="1495"/>
      <c r="U84" s="1442"/>
      <c r="V84" s="121" t="s">
        <v>237</v>
      </c>
      <c r="W84" s="1490"/>
      <c r="X84" s="1491"/>
      <c r="Y84" s="125"/>
      <c r="Z84" s="125"/>
      <c r="AA84" s="125"/>
      <c r="AB84" s="609"/>
      <c r="AC84" s="129"/>
      <c r="AD84" s="118">
        <f t="shared" si="273"/>
        <v>0</v>
      </c>
      <c r="AE84" s="1442"/>
      <c r="AF84" s="1472" t="s">
        <v>220</v>
      </c>
      <c r="AG84" s="1473"/>
      <c r="AH84" s="1474">
        <f>AH82+AH83</f>
        <v>0</v>
      </c>
      <c r="AI84" s="1475"/>
      <c r="AJ84" s="1442"/>
      <c r="AK84" s="1443"/>
      <c r="AL84" s="1444"/>
      <c r="AM84" s="1444"/>
      <c r="AN84" s="1445"/>
      <c r="AO84" s="763"/>
      <c r="AP84" s="116"/>
    </row>
    <row r="85" spans="1:42" s="117" customFormat="1" ht="16.5" customHeight="1">
      <c r="A85" s="776"/>
      <c r="B85" s="269"/>
      <c r="C85" s="476">
        <f>MPR!B49</f>
        <v>0</v>
      </c>
      <c r="D85" s="1504">
        <f>MPR!D49</f>
        <v>0</v>
      </c>
      <c r="E85" s="1504"/>
      <c r="F85" s="1504"/>
      <c r="G85" s="1504"/>
      <c r="H85" s="1504"/>
      <c r="I85" s="1494">
        <f>MPR!I49</f>
        <v>0</v>
      </c>
      <c r="J85" s="1494"/>
      <c r="K85" s="1470"/>
      <c r="L85" s="1470"/>
      <c r="M85" s="1470"/>
      <c r="N85" s="1470"/>
      <c r="O85" s="1494">
        <f t="shared" si="271"/>
        <v>0</v>
      </c>
      <c r="P85" s="1494"/>
      <c r="Q85" s="1470"/>
      <c r="R85" s="1470"/>
      <c r="S85" s="1494">
        <f t="shared" si="272"/>
        <v>0</v>
      </c>
      <c r="T85" s="1495"/>
      <c r="U85" s="1442"/>
      <c r="V85" s="123" t="s">
        <v>238</v>
      </c>
      <c r="W85" s="1490"/>
      <c r="X85" s="1491"/>
      <c r="Y85" s="125"/>
      <c r="Z85" s="125"/>
      <c r="AA85" s="125"/>
      <c r="AB85" s="609"/>
      <c r="AC85" s="129"/>
      <c r="AD85" s="118">
        <f t="shared" si="273"/>
        <v>0</v>
      </c>
      <c r="AE85" s="1442"/>
      <c r="AF85" s="1468" t="s">
        <v>228</v>
      </c>
      <c r="AG85" s="1469"/>
      <c r="AH85" s="1470"/>
      <c r="AI85" s="1471"/>
      <c r="AJ85" s="1442"/>
      <c r="AK85" s="1443"/>
      <c r="AL85" s="1444"/>
      <c r="AM85" s="1444"/>
      <c r="AN85" s="1445"/>
      <c r="AO85" s="763"/>
      <c r="AP85" s="116"/>
    </row>
    <row r="86" spans="1:42" s="117" customFormat="1" ht="16.5" customHeight="1">
      <c r="A86" s="776"/>
      <c r="B86" s="269"/>
      <c r="C86" s="476">
        <f>MPR!B50</f>
        <v>0</v>
      </c>
      <c r="D86" s="1504">
        <f>MPR!D50</f>
        <v>0</v>
      </c>
      <c r="E86" s="1504"/>
      <c r="F86" s="1504"/>
      <c r="G86" s="1504"/>
      <c r="H86" s="1504"/>
      <c r="I86" s="1494">
        <f>MPR!I50</f>
        <v>0</v>
      </c>
      <c r="J86" s="1494"/>
      <c r="K86" s="1470"/>
      <c r="L86" s="1470"/>
      <c r="M86" s="1470"/>
      <c r="N86" s="1470"/>
      <c r="O86" s="1494">
        <f t="shared" si="271"/>
        <v>0</v>
      </c>
      <c r="P86" s="1494"/>
      <c r="Q86" s="1470"/>
      <c r="R86" s="1470"/>
      <c r="S86" s="1494">
        <f t="shared" si="272"/>
        <v>0</v>
      </c>
      <c r="T86" s="1495"/>
      <c r="U86" s="1442"/>
      <c r="V86" s="121" t="s">
        <v>239</v>
      </c>
      <c r="W86" s="1490"/>
      <c r="X86" s="1491"/>
      <c r="Y86" s="125"/>
      <c r="Z86" s="125"/>
      <c r="AA86" s="125"/>
      <c r="AB86" s="609"/>
      <c r="AC86" s="129"/>
      <c r="AD86" s="118">
        <f t="shared" si="273"/>
        <v>0</v>
      </c>
      <c r="AE86" s="1442"/>
      <c r="AF86" s="1472" t="s">
        <v>243</v>
      </c>
      <c r="AG86" s="1473"/>
      <c r="AH86" s="1474">
        <f>AH84-AH85</f>
        <v>0</v>
      </c>
      <c r="AI86" s="1475"/>
      <c r="AJ86" s="1442"/>
      <c r="AK86" s="1443"/>
      <c r="AL86" s="1444"/>
      <c r="AM86" s="1444"/>
      <c r="AN86" s="1445"/>
      <c r="AO86" s="763"/>
      <c r="AP86" s="116"/>
    </row>
    <row r="87" spans="1:42" s="117" customFormat="1" ht="16.5" customHeight="1" thickBot="1">
      <c r="A87" s="776"/>
      <c r="B87" s="269"/>
      <c r="C87" s="1570"/>
      <c r="D87" s="1571"/>
      <c r="E87" s="1571"/>
      <c r="F87" s="1571"/>
      <c r="G87" s="1571"/>
      <c r="H87" s="1571"/>
      <c r="I87" s="1571"/>
      <c r="J87" s="1571"/>
      <c r="K87" s="1571"/>
      <c r="L87" s="1571"/>
      <c r="M87" s="1571"/>
      <c r="N87" s="1571"/>
      <c r="O87" s="1571"/>
      <c r="P87" s="1571"/>
      <c r="Q87" s="1571"/>
      <c r="R87" s="1571"/>
      <c r="S87" s="1571"/>
      <c r="T87" s="1572"/>
      <c r="U87" s="1442"/>
      <c r="V87" s="122" t="s">
        <v>130</v>
      </c>
      <c r="W87" s="1492"/>
      <c r="X87" s="1493"/>
      <c r="Y87" s="126"/>
      <c r="Z87" s="126"/>
      <c r="AA87" s="126"/>
      <c r="AB87" s="610"/>
      <c r="AC87" s="130"/>
      <c r="AD87" s="119">
        <f t="shared" si="273"/>
        <v>0</v>
      </c>
      <c r="AE87" s="1442"/>
      <c r="AF87" s="1476"/>
      <c r="AG87" s="1477"/>
      <c r="AH87" s="1478"/>
      <c r="AI87" s="1479"/>
      <c r="AJ87" s="1442"/>
      <c r="AK87" s="1446"/>
      <c r="AL87" s="1447"/>
      <c r="AM87" s="1447"/>
      <c r="AN87" s="1448"/>
      <c r="AO87" s="763"/>
      <c r="AP87" s="116"/>
    </row>
    <row r="88" spans="1:42" s="117" customFormat="1" ht="74.25" customHeight="1">
      <c r="A88" s="776"/>
      <c r="B88" s="269"/>
      <c r="C88" s="1440" t="s">
        <v>124</v>
      </c>
      <c r="D88" s="1440"/>
      <c r="E88" s="1440"/>
      <c r="F88" s="1440"/>
      <c r="G88" s="1440"/>
      <c r="H88" s="1440"/>
      <c r="I88" s="1440"/>
      <c r="J88" s="1440"/>
      <c r="K88" s="1440"/>
      <c r="L88" s="1440" t="s">
        <v>245</v>
      </c>
      <c r="M88" s="1440"/>
      <c r="N88" s="1440"/>
      <c r="O88" s="1440"/>
      <c r="P88" s="1440"/>
      <c r="Q88" s="1440"/>
      <c r="R88" s="1440"/>
      <c r="S88" s="1440"/>
      <c r="T88" s="1440"/>
      <c r="U88" s="1441" t="s">
        <v>246</v>
      </c>
      <c r="V88" s="1440"/>
      <c r="W88" s="1440"/>
      <c r="X88" s="1440"/>
      <c r="Y88" s="1440"/>
      <c r="Z88" s="1440"/>
      <c r="AA88" s="1440"/>
      <c r="AB88" s="1440"/>
      <c r="AC88" s="1440"/>
      <c r="AD88" s="1440"/>
      <c r="AE88" s="1441"/>
      <c r="AF88" s="1440" t="s">
        <v>247</v>
      </c>
      <c r="AG88" s="1440"/>
      <c r="AH88" s="1440"/>
      <c r="AI88" s="1440"/>
      <c r="AJ88" s="1441"/>
      <c r="AK88" s="1440"/>
      <c r="AL88" s="1440"/>
      <c r="AM88" s="1440"/>
      <c r="AN88" s="1440"/>
      <c r="AO88" s="763"/>
      <c r="AP88" s="116"/>
    </row>
    <row r="89" spans="1:42">
      <c r="A89" s="776"/>
      <c r="B89" s="269"/>
      <c r="C89" s="1330"/>
      <c r="D89" s="1330"/>
      <c r="E89" s="1330"/>
      <c r="F89" s="1330"/>
      <c r="G89" s="1330"/>
      <c r="H89" s="1330"/>
      <c r="I89" s="1330"/>
      <c r="J89" s="1330"/>
      <c r="K89" s="1330"/>
      <c r="L89" s="1330"/>
      <c r="M89" s="1330"/>
      <c r="N89" s="1330"/>
      <c r="O89" s="1330"/>
      <c r="P89" s="1330"/>
      <c r="Q89" s="1330"/>
      <c r="R89" s="1330"/>
      <c r="S89" s="1330"/>
      <c r="T89" s="1330"/>
      <c r="U89" s="1330"/>
      <c r="V89" s="1330"/>
      <c r="W89" s="1330"/>
      <c r="X89" s="1330"/>
      <c r="Y89" s="1330"/>
      <c r="Z89" s="1330"/>
      <c r="AA89" s="1330"/>
      <c r="AB89" s="1330"/>
      <c r="AC89" s="1330"/>
      <c r="AD89" s="1330"/>
      <c r="AE89" s="1330"/>
      <c r="AF89" s="1330"/>
      <c r="AG89" s="1330"/>
      <c r="AH89" s="1330"/>
      <c r="AI89" s="1330"/>
      <c r="AJ89" s="1330"/>
      <c r="AK89" s="1330"/>
      <c r="AL89" s="1330"/>
      <c r="AM89" s="1330"/>
      <c r="AN89" s="32"/>
      <c r="AO89" s="763"/>
    </row>
    <row r="90" spans="1:42" hidden="1"/>
    <row r="91" spans="1:42" hidden="1"/>
    <row r="92" spans="1:42" hidden="1"/>
    <row r="93" spans="1:42" hidden="1"/>
    <row r="94" spans="1:42" hidden="1"/>
    <row r="95" spans="1:42" hidden="1"/>
    <row r="96" spans="1:42"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sheetData>
  <sheetProtection password="E8FA" sheet="1" objects="1" scenarios="1" formatCells="0" formatColumns="0" formatRows="0" selectLockedCells="1"/>
  <mergeCells count="906">
    <mergeCell ref="B63:B64"/>
    <mergeCell ref="B65:B66"/>
    <mergeCell ref="B67:B68"/>
    <mergeCell ref="B69:B70"/>
    <mergeCell ref="B45:B46"/>
    <mergeCell ref="B47:B48"/>
    <mergeCell ref="B49:B50"/>
    <mergeCell ref="B51:B52"/>
    <mergeCell ref="B53:B54"/>
    <mergeCell ref="B55:B56"/>
    <mergeCell ref="B57:B58"/>
    <mergeCell ref="B59:B60"/>
    <mergeCell ref="B61:B62"/>
    <mergeCell ref="B27:B28"/>
    <mergeCell ref="B29:B30"/>
    <mergeCell ref="B31:B32"/>
    <mergeCell ref="B33:B34"/>
    <mergeCell ref="B35:B36"/>
    <mergeCell ref="B37:B38"/>
    <mergeCell ref="B39:B40"/>
    <mergeCell ref="B41:B42"/>
    <mergeCell ref="B43:B44"/>
    <mergeCell ref="B9:B10"/>
    <mergeCell ref="B11:B12"/>
    <mergeCell ref="B13:B14"/>
    <mergeCell ref="B15:B16"/>
    <mergeCell ref="B17:B18"/>
    <mergeCell ref="B19:B20"/>
    <mergeCell ref="B21:B22"/>
    <mergeCell ref="B23:B24"/>
    <mergeCell ref="B25:B26"/>
    <mergeCell ref="Q69:Q70"/>
    <mergeCell ref="R69:R70"/>
    <mergeCell ref="S69:S70"/>
    <mergeCell ref="T69:T70"/>
    <mergeCell ref="U69:U70"/>
    <mergeCell ref="V69:V70"/>
    <mergeCell ref="W69:W70"/>
    <mergeCell ref="X69:X70"/>
    <mergeCell ref="Y69:Y70"/>
    <mergeCell ref="H69:H70"/>
    <mergeCell ref="I69:I70"/>
    <mergeCell ref="J69:J70"/>
    <mergeCell ref="K69:K70"/>
    <mergeCell ref="L69:L70"/>
    <mergeCell ref="M69:M70"/>
    <mergeCell ref="N69:N70"/>
    <mergeCell ref="O69:O70"/>
    <mergeCell ref="P69:P70"/>
    <mergeCell ref="Y65:Y66"/>
    <mergeCell ref="H67:H68"/>
    <mergeCell ref="I67:I68"/>
    <mergeCell ref="J67:J68"/>
    <mergeCell ref="K67:K68"/>
    <mergeCell ref="L67:L68"/>
    <mergeCell ref="M67:M68"/>
    <mergeCell ref="N67:N68"/>
    <mergeCell ref="O67:O68"/>
    <mergeCell ref="P67:P68"/>
    <mergeCell ref="Q67:Q68"/>
    <mergeCell ref="R67:R68"/>
    <mergeCell ref="S67:S68"/>
    <mergeCell ref="T67:T68"/>
    <mergeCell ref="U67:U68"/>
    <mergeCell ref="V67:V68"/>
    <mergeCell ref="W67:W68"/>
    <mergeCell ref="X67:X68"/>
    <mergeCell ref="Y67:Y68"/>
    <mergeCell ref="P65:P66"/>
    <mergeCell ref="Q65:Q66"/>
    <mergeCell ref="R65:R66"/>
    <mergeCell ref="S65:S66"/>
    <mergeCell ref="T65:T66"/>
    <mergeCell ref="U65:U66"/>
    <mergeCell ref="V65:V66"/>
    <mergeCell ref="W65:W66"/>
    <mergeCell ref="X65:X66"/>
    <mergeCell ref="L61:L62"/>
    <mergeCell ref="H65:H66"/>
    <mergeCell ref="I65:I66"/>
    <mergeCell ref="J65:J66"/>
    <mergeCell ref="K65:K66"/>
    <mergeCell ref="L65:L66"/>
    <mergeCell ref="M65:M66"/>
    <mergeCell ref="N65:N66"/>
    <mergeCell ref="O65:O66"/>
    <mergeCell ref="Q63:Q64"/>
    <mergeCell ref="R63:R64"/>
    <mergeCell ref="S63:S64"/>
    <mergeCell ref="T63:T64"/>
    <mergeCell ref="U63:U64"/>
    <mergeCell ref="V63:V64"/>
    <mergeCell ref="W63:W64"/>
    <mergeCell ref="X63:X64"/>
    <mergeCell ref="R61:R62"/>
    <mergeCell ref="S61:S62"/>
    <mergeCell ref="T61:T62"/>
    <mergeCell ref="Y63:Y64"/>
    <mergeCell ref="H63:H64"/>
    <mergeCell ref="I63:I64"/>
    <mergeCell ref="J63:J64"/>
    <mergeCell ref="K63:K64"/>
    <mergeCell ref="L63:L64"/>
    <mergeCell ref="M63:M64"/>
    <mergeCell ref="N63:N64"/>
    <mergeCell ref="O63:O64"/>
    <mergeCell ref="P63:P64"/>
    <mergeCell ref="Y57:Y58"/>
    <mergeCell ref="Q59:Q60"/>
    <mergeCell ref="R59:R60"/>
    <mergeCell ref="S59:S60"/>
    <mergeCell ref="T59:T60"/>
    <mergeCell ref="U59:U60"/>
    <mergeCell ref="V59:V60"/>
    <mergeCell ref="W59:W60"/>
    <mergeCell ref="X59:X60"/>
    <mergeCell ref="Y59:Y60"/>
    <mergeCell ref="U61:U62"/>
    <mergeCell ref="V61:V62"/>
    <mergeCell ref="W61:W62"/>
    <mergeCell ref="X61:X62"/>
    <mergeCell ref="Y61:Y62"/>
    <mergeCell ref="H59:H60"/>
    <mergeCell ref="I59:I60"/>
    <mergeCell ref="J59:J60"/>
    <mergeCell ref="K59:K60"/>
    <mergeCell ref="L59:L60"/>
    <mergeCell ref="M59:M60"/>
    <mergeCell ref="N59:N60"/>
    <mergeCell ref="O59:O60"/>
    <mergeCell ref="P59:P60"/>
    <mergeCell ref="S55:S56"/>
    <mergeCell ref="T55:T56"/>
    <mergeCell ref="U55:U56"/>
    <mergeCell ref="V55:V56"/>
    <mergeCell ref="W55:W56"/>
    <mergeCell ref="X55:X56"/>
    <mergeCell ref="Y55:Y56"/>
    <mergeCell ref="H57:H58"/>
    <mergeCell ref="I57:I58"/>
    <mergeCell ref="J57:J58"/>
    <mergeCell ref="K57:K58"/>
    <mergeCell ref="L57:L58"/>
    <mergeCell ref="M57:M58"/>
    <mergeCell ref="N57:N58"/>
    <mergeCell ref="O57:O58"/>
    <mergeCell ref="P57:P58"/>
    <mergeCell ref="Q57:Q58"/>
    <mergeCell ref="R57:R58"/>
    <mergeCell ref="S57:S58"/>
    <mergeCell ref="T57:T58"/>
    <mergeCell ref="U57:U58"/>
    <mergeCell ref="V57:V58"/>
    <mergeCell ref="W57:W58"/>
    <mergeCell ref="X57:X58"/>
    <mergeCell ref="S51:S52"/>
    <mergeCell ref="T51:T52"/>
    <mergeCell ref="U51:U52"/>
    <mergeCell ref="V51:V52"/>
    <mergeCell ref="W51:W52"/>
    <mergeCell ref="X51:X52"/>
    <mergeCell ref="Y51:Y52"/>
    <mergeCell ref="H53:H54"/>
    <mergeCell ref="I53:I54"/>
    <mergeCell ref="J53:J54"/>
    <mergeCell ref="K53:K54"/>
    <mergeCell ref="L53:L54"/>
    <mergeCell ref="M53:M54"/>
    <mergeCell ref="N53:N54"/>
    <mergeCell ref="O53:O54"/>
    <mergeCell ref="P53:P54"/>
    <mergeCell ref="Q53:Q54"/>
    <mergeCell ref="R53:R54"/>
    <mergeCell ref="S53:S54"/>
    <mergeCell ref="T53:T54"/>
    <mergeCell ref="U53:U54"/>
    <mergeCell ref="V53:V54"/>
    <mergeCell ref="W53:W54"/>
    <mergeCell ref="X53:X54"/>
    <mergeCell ref="X47:X48"/>
    <mergeCell ref="Y47:Y48"/>
    <mergeCell ref="M45:M46"/>
    <mergeCell ref="N45:N46"/>
    <mergeCell ref="H49:H50"/>
    <mergeCell ref="I49:I50"/>
    <mergeCell ref="J49:J50"/>
    <mergeCell ref="K49:K50"/>
    <mergeCell ref="L49:L50"/>
    <mergeCell ref="M49:M50"/>
    <mergeCell ref="N49:N50"/>
    <mergeCell ref="O49:O50"/>
    <mergeCell ref="P49:P50"/>
    <mergeCell ref="Q49:Q50"/>
    <mergeCell ref="R49:R50"/>
    <mergeCell ref="S49:S50"/>
    <mergeCell ref="T49:T50"/>
    <mergeCell ref="U49:U50"/>
    <mergeCell ref="V49:V50"/>
    <mergeCell ref="W49:W50"/>
    <mergeCell ref="X49:X50"/>
    <mergeCell ref="Y49:Y50"/>
    <mergeCell ref="O47:O48"/>
    <mergeCell ref="P47:P48"/>
    <mergeCell ref="Q47:Q48"/>
    <mergeCell ref="R47:R48"/>
    <mergeCell ref="S47:S48"/>
    <mergeCell ref="T47:T48"/>
    <mergeCell ref="U47:U48"/>
    <mergeCell ref="V47:V48"/>
    <mergeCell ref="W47:W48"/>
    <mergeCell ref="V43:V44"/>
    <mergeCell ref="W43:W44"/>
    <mergeCell ref="X43:X44"/>
    <mergeCell ref="Y43:Y44"/>
    <mergeCell ref="H43:H44"/>
    <mergeCell ref="I43:I44"/>
    <mergeCell ref="J43:J44"/>
    <mergeCell ref="K43:K44"/>
    <mergeCell ref="L43:L44"/>
    <mergeCell ref="M43:M44"/>
    <mergeCell ref="N43:N44"/>
    <mergeCell ref="O43:O44"/>
    <mergeCell ref="P43:P44"/>
    <mergeCell ref="Q43:Q44"/>
    <mergeCell ref="R43:R44"/>
    <mergeCell ref="S43:S44"/>
    <mergeCell ref="T43:T44"/>
    <mergeCell ref="U43:U44"/>
    <mergeCell ref="Q41:Q42"/>
    <mergeCell ref="R41:R42"/>
    <mergeCell ref="S41:S42"/>
    <mergeCell ref="T41:T42"/>
    <mergeCell ref="U41:U42"/>
    <mergeCell ref="V41:V42"/>
    <mergeCell ref="W41:W42"/>
    <mergeCell ref="X41:X42"/>
    <mergeCell ref="Y41:Y42"/>
    <mergeCell ref="H41:H42"/>
    <mergeCell ref="I41:I42"/>
    <mergeCell ref="J41:J42"/>
    <mergeCell ref="K41:K42"/>
    <mergeCell ref="L41:L42"/>
    <mergeCell ref="M41:M42"/>
    <mergeCell ref="N41:N42"/>
    <mergeCell ref="O41:O42"/>
    <mergeCell ref="P41:P42"/>
    <mergeCell ref="Y37:Y38"/>
    <mergeCell ref="H39:H40"/>
    <mergeCell ref="I39:I40"/>
    <mergeCell ref="J39:J40"/>
    <mergeCell ref="K39:K40"/>
    <mergeCell ref="L39:L40"/>
    <mergeCell ref="M39:M40"/>
    <mergeCell ref="N39:N40"/>
    <mergeCell ref="O39:O40"/>
    <mergeCell ref="P39:P40"/>
    <mergeCell ref="Q39:Q40"/>
    <mergeCell ref="R39:R40"/>
    <mergeCell ref="S39:S40"/>
    <mergeCell ref="T39:T40"/>
    <mergeCell ref="U39:U40"/>
    <mergeCell ref="V39:V40"/>
    <mergeCell ref="W39:W40"/>
    <mergeCell ref="X39:X40"/>
    <mergeCell ref="Y39:Y40"/>
    <mergeCell ref="P37:P38"/>
    <mergeCell ref="Q37:Q38"/>
    <mergeCell ref="R37:R38"/>
    <mergeCell ref="S37:S38"/>
    <mergeCell ref="T37:T38"/>
    <mergeCell ref="X37:X38"/>
    <mergeCell ref="Q35:Q36"/>
    <mergeCell ref="R35:R36"/>
    <mergeCell ref="S35:S36"/>
    <mergeCell ref="T35:T36"/>
    <mergeCell ref="U35:U36"/>
    <mergeCell ref="V35:V36"/>
    <mergeCell ref="W35:W36"/>
    <mergeCell ref="X35:X36"/>
    <mergeCell ref="H35:H36"/>
    <mergeCell ref="I35:I36"/>
    <mergeCell ref="J35:J36"/>
    <mergeCell ref="K35:K36"/>
    <mergeCell ref="L35:L36"/>
    <mergeCell ref="M35:M36"/>
    <mergeCell ref="N35:N36"/>
    <mergeCell ref="O35:O36"/>
    <mergeCell ref="P35:P36"/>
    <mergeCell ref="Q33:Q34"/>
    <mergeCell ref="R33:R34"/>
    <mergeCell ref="S33:S34"/>
    <mergeCell ref="T33:T34"/>
    <mergeCell ref="U33:U34"/>
    <mergeCell ref="V33:V34"/>
    <mergeCell ref="W33:W34"/>
    <mergeCell ref="X33:X34"/>
    <mergeCell ref="Y33:Y34"/>
    <mergeCell ref="H33:H34"/>
    <mergeCell ref="I33:I34"/>
    <mergeCell ref="J33:J34"/>
    <mergeCell ref="K33:K34"/>
    <mergeCell ref="L33:L34"/>
    <mergeCell ref="M33:M34"/>
    <mergeCell ref="N33:N34"/>
    <mergeCell ref="O33:O34"/>
    <mergeCell ref="P33:P34"/>
    <mergeCell ref="Q31:Q32"/>
    <mergeCell ref="R31:R32"/>
    <mergeCell ref="S31:S32"/>
    <mergeCell ref="T31:T32"/>
    <mergeCell ref="U31:U32"/>
    <mergeCell ref="V31:V32"/>
    <mergeCell ref="W31:W32"/>
    <mergeCell ref="X31:X32"/>
    <mergeCell ref="Y31:Y32"/>
    <mergeCell ref="H31:H32"/>
    <mergeCell ref="I31:I32"/>
    <mergeCell ref="J31:J32"/>
    <mergeCell ref="K31:K32"/>
    <mergeCell ref="L31:L32"/>
    <mergeCell ref="M31:M32"/>
    <mergeCell ref="N31:N32"/>
    <mergeCell ref="O31:O32"/>
    <mergeCell ref="P31:P32"/>
    <mergeCell ref="V25:V26"/>
    <mergeCell ref="W25:W26"/>
    <mergeCell ref="X25:X26"/>
    <mergeCell ref="Y25:Y26"/>
    <mergeCell ref="H27:H28"/>
    <mergeCell ref="I27:I28"/>
    <mergeCell ref="J27:J28"/>
    <mergeCell ref="K27:K28"/>
    <mergeCell ref="L27:L28"/>
    <mergeCell ref="M27:M28"/>
    <mergeCell ref="N27:N28"/>
    <mergeCell ref="O27:O28"/>
    <mergeCell ref="P27:P28"/>
    <mergeCell ref="Q27:Q28"/>
    <mergeCell ref="R27:R28"/>
    <mergeCell ref="S27:S28"/>
    <mergeCell ref="T27:T28"/>
    <mergeCell ref="U27:U28"/>
    <mergeCell ref="V27:V28"/>
    <mergeCell ref="W27:W28"/>
    <mergeCell ref="X27:X28"/>
    <mergeCell ref="Y27:Y28"/>
    <mergeCell ref="H25:H26"/>
    <mergeCell ref="I25:I26"/>
    <mergeCell ref="J25:J26"/>
    <mergeCell ref="K25:K26"/>
    <mergeCell ref="L25:L26"/>
    <mergeCell ref="M25:M26"/>
    <mergeCell ref="N25:N26"/>
    <mergeCell ref="O25:O26"/>
    <mergeCell ref="P25:P26"/>
    <mergeCell ref="U21:U22"/>
    <mergeCell ref="J21:J22"/>
    <mergeCell ref="K21:K22"/>
    <mergeCell ref="L21:L22"/>
    <mergeCell ref="M21:M22"/>
    <mergeCell ref="N21:N22"/>
    <mergeCell ref="O21:O22"/>
    <mergeCell ref="P21:P22"/>
    <mergeCell ref="U25:U26"/>
    <mergeCell ref="V21:V22"/>
    <mergeCell ref="W21:W22"/>
    <mergeCell ref="X21:X22"/>
    <mergeCell ref="Y21:Y22"/>
    <mergeCell ref="H23:H24"/>
    <mergeCell ref="I23:I24"/>
    <mergeCell ref="J23:J24"/>
    <mergeCell ref="K23:K24"/>
    <mergeCell ref="L23:L24"/>
    <mergeCell ref="M23:M24"/>
    <mergeCell ref="N23:N24"/>
    <mergeCell ref="O23:O24"/>
    <mergeCell ref="P23:P24"/>
    <mergeCell ref="Q23:Q24"/>
    <mergeCell ref="R23:R24"/>
    <mergeCell ref="S23:S24"/>
    <mergeCell ref="T23:T24"/>
    <mergeCell ref="U23:U24"/>
    <mergeCell ref="V23:V24"/>
    <mergeCell ref="W23:W24"/>
    <mergeCell ref="X23:X24"/>
    <mergeCell ref="Y23:Y24"/>
    <mergeCell ref="H21:H22"/>
    <mergeCell ref="I21:I22"/>
    <mergeCell ref="V17:V18"/>
    <mergeCell ref="W17:W18"/>
    <mergeCell ref="X17:X18"/>
    <mergeCell ref="H19:H20"/>
    <mergeCell ref="I19:I20"/>
    <mergeCell ref="J19:J20"/>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H17:H18"/>
    <mergeCell ref="I17:I18"/>
    <mergeCell ref="J17:J18"/>
    <mergeCell ref="K17:K18"/>
    <mergeCell ref="L17:L18"/>
    <mergeCell ref="M17:M18"/>
    <mergeCell ref="N17:N18"/>
    <mergeCell ref="O17:O18"/>
    <mergeCell ref="P17:P18"/>
    <mergeCell ref="H15:H16"/>
    <mergeCell ref="I15:I16"/>
    <mergeCell ref="J15:J16"/>
    <mergeCell ref="K15:K16"/>
    <mergeCell ref="L15:L16"/>
    <mergeCell ref="M15:M16"/>
    <mergeCell ref="N15:N16"/>
    <mergeCell ref="O15:O16"/>
    <mergeCell ref="P15:P16"/>
    <mergeCell ref="AN41:AN42"/>
    <mergeCell ref="AN43:AN44"/>
    <mergeCell ref="AN9:AN10"/>
    <mergeCell ref="AN51:AN52"/>
    <mergeCell ref="M37:M38"/>
    <mergeCell ref="N37:N38"/>
    <mergeCell ref="V11:V12"/>
    <mergeCell ref="W11:W12"/>
    <mergeCell ref="X11:X12"/>
    <mergeCell ref="Q13:Q14"/>
    <mergeCell ref="R13:R14"/>
    <mergeCell ref="S13:S14"/>
    <mergeCell ref="T13:T14"/>
    <mergeCell ref="U13:U14"/>
    <mergeCell ref="V13:V14"/>
    <mergeCell ref="W13:W14"/>
    <mergeCell ref="X13:X14"/>
    <mergeCell ref="M11:M12"/>
    <mergeCell ref="N11:N12"/>
    <mergeCell ref="O11:O12"/>
    <mergeCell ref="P11:P12"/>
    <mergeCell ref="Q15:Q16"/>
    <mergeCell ref="R15:R16"/>
    <mergeCell ref="S15:S16"/>
    <mergeCell ref="V9:V10"/>
    <mergeCell ref="W9:W10"/>
    <mergeCell ref="X9:X10"/>
    <mergeCell ref="Y9:Y10"/>
    <mergeCell ref="AN35:AN36"/>
    <mergeCell ref="AN37:AN38"/>
    <mergeCell ref="AN39:AN40"/>
    <mergeCell ref="T15:T16"/>
    <mergeCell ref="U15:U16"/>
    <mergeCell ref="V15:V16"/>
    <mergeCell ref="W15:W16"/>
    <mergeCell ref="X15:X16"/>
    <mergeCell ref="Y19:Y20"/>
    <mergeCell ref="U29:U30"/>
    <mergeCell ref="V29:V30"/>
    <mergeCell ref="W29:W30"/>
    <mergeCell ref="X29:X30"/>
    <mergeCell ref="Y29:Y30"/>
    <mergeCell ref="Y35:Y36"/>
    <mergeCell ref="U37:U38"/>
    <mergeCell ref="V37:V38"/>
    <mergeCell ref="W37:W38"/>
    <mergeCell ref="T17:T18"/>
    <mergeCell ref="U17:U18"/>
    <mergeCell ref="U11:U12"/>
    <mergeCell ref="Q17:Q18"/>
    <mergeCell ref="I9:I10"/>
    <mergeCell ref="H9:H10"/>
    <mergeCell ref="N9:N10"/>
    <mergeCell ref="M9:M10"/>
    <mergeCell ref="R9:R10"/>
    <mergeCell ref="Q9:Q10"/>
    <mergeCell ref="P9:P10"/>
    <mergeCell ref="O9:O10"/>
    <mergeCell ref="S9:S10"/>
    <mergeCell ref="L9:L10"/>
    <mergeCell ref="K9:K10"/>
    <mergeCell ref="J9:J10"/>
    <mergeCell ref="T9:T10"/>
    <mergeCell ref="U9:U10"/>
    <mergeCell ref="H13:H14"/>
    <mergeCell ref="I13:I14"/>
    <mergeCell ref="J13:J14"/>
    <mergeCell ref="K13:K14"/>
    <mergeCell ref="L13:L14"/>
    <mergeCell ref="M13:M14"/>
    <mergeCell ref="N13:N14"/>
    <mergeCell ref="O13:O14"/>
    <mergeCell ref="P29:P30"/>
    <mergeCell ref="Q29:Q30"/>
    <mergeCell ref="R29:R30"/>
    <mergeCell ref="S29:S30"/>
    <mergeCell ref="T29:T30"/>
    <mergeCell ref="Q11:Q12"/>
    <mergeCell ref="R11:R12"/>
    <mergeCell ref="S11:S12"/>
    <mergeCell ref="T11:T12"/>
    <mergeCell ref="P13:P14"/>
    <mergeCell ref="R17:R18"/>
    <mergeCell ref="S17:S18"/>
    <mergeCell ref="Q21:Q22"/>
    <mergeCell ref="R21:R22"/>
    <mergeCell ref="S21:S22"/>
    <mergeCell ref="T21:T22"/>
    <mergeCell ref="Q25:Q26"/>
    <mergeCell ref="R25:R26"/>
    <mergeCell ref="S25:S26"/>
    <mergeCell ref="T25:T26"/>
    <mergeCell ref="AN33:AN34"/>
    <mergeCell ref="AN11:AN12"/>
    <mergeCell ref="AN13:AN14"/>
    <mergeCell ref="AN15:AN16"/>
    <mergeCell ref="AN17:AN18"/>
    <mergeCell ref="AN19:AN20"/>
    <mergeCell ref="AN21:AN22"/>
    <mergeCell ref="AN23:AN24"/>
    <mergeCell ref="AN25:AN26"/>
    <mergeCell ref="C59:C60"/>
    <mergeCell ref="D59:E60"/>
    <mergeCell ref="F59:G60"/>
    <mergeCell ref="C61:C62"/>
    <mergeCell ref="D61:E62"/>
    <mergeCell ref="F61:G62"/>
    <mergeCell ref="C63:C64"/>
    <mergeCell ref="D63:E64"/>
    <mergeCell ref="F63:G64"/>
    <mergeCell ref="C53:C54"/>
    <mergeCell ref="D53:E54"/>
    <mergeCell ref="F53:G54"/>
    <mergeCell ref="C55:C56"/>
    <mergeCell ref="D55:E56"/>
    <mergeCell ref="F55:G56"/>
    <mergeCell ref="C57:C58"/>
    <mergeCell ref="D57:E58"/>
    <mergeCell ref="F57:G58"/>
    <mergeCell ref="C47:C48"/>
    <mergeCell ref="D47:E48"/>
    <mergeCell ref="F47:G48"/>
    <mergeCell ref="C49:C50"/>
    <mergeCell ref="D49:E50"/>
    <mergeCell ref="F49:G50"/>
    <mergeCell ref="C51:C52"/>
    <mergeCell ref="D51:E52"/>
    <mergeCell ref="F51:G52"/>
    <mergeCell ref="C41:C42"/>
    <mergeCell ref="D41:E42"/>
    <mergeCell ref="F41:G42"/>
    <mergeCell ref="C43:C44"/>
    <mergeCell ref="D43:E44"/>
    <mergeCell ref="F43:G44"/>
    <mergeCell ref="C45:C46"/>
    <mergeCell ref="D45:E46"/>
    <mergeCell ref="F45:G46"/>
    <mergeCell ref="C35:C36"/>
    <mergeCell ref="D35:E36"/>
    <mergeCell ref="F35:G36"/>
    <mergeCell ref="C37:C38"/>
    <mergeCell ref="D37:E38"/>
    <mergeCell ref="F37:G38"/>
    <mergeCell ref="C39:C40"/>
    <mergeCell ref="D39:E40"/>
    <mergeCell ref="F39:G40"/>
    <mergeCell ref="F27:G28"/>
    <mergeCell ref="C29:C30"/>
    <mergeCell ref="D29:E30"/>
    <mergeCell ref="F29:G30"/>
    <mergeCell ref="C31:C32"/>
    <mergeCell ref="D31:E32"/>
    <mergeCell ref="F31:G32"/>
    <mergeCell ref="C33:C34"/>
    <mergeCell ref="D33:E34"/>
    <mergeCell ref="F33:G34"/>
    <mergeCell ref="C27:C28"/>
    <mergeCell ref="D27:E28"/>
    <mergeCell ref="H55:H56"/>
    <mergeCell ref="I55:I56"/>
    <mergeCell ref="J55:J56"/>
    <mergeCell ref="AN45:AN46"/>
    <mergeCell ref="AN47:AN48"/>
    <mergeCell ref="AN49:AN50"/>
    <mergeCell ref="O45:O46"/>
    <mergeCell ref="P45:P46"/>
    <mergeCell ref="Q45:Q46"/>
    <mergeCell ref="R45:R46"/>
    <mergeCell ref="S45:S46"/>
    <mergeCell ref="T45:T46"/>
    <mergeCell ref="U45:U46"/>
    <mergeCell ref="V45:V46"/>
    <mergeCell ref="W45:W46"/>
    <mergeCell ref="X45:X46"/>
    <mergeCell ref="Y45:Y46"/>
    <mergeCell ref="H47:H48"/>
    <mergeCell ref="I47:I48"/>
    <mergeCell ref="J47:J48"/>
    <mergeCell ref="K47:K48"/>
    <mergeCell ref="L47:L48"/>
    <mergeCell ref="M47:M48"/>
    <mergeCell ref="N47:N48"/>
    <mergeCell ref="C87:T87"/>
    <mergeCell ref="AN61:AN62"/>
    <mergeCell ref="AN63:AN64"/>
    <mergeCell ref="AN65:AN66"/>
    <mergeCell ref="AN67:AN68"/>
    <mergeCell ref="H61:H62"/>
    <mergeCell ref="I61:I62"/>
    <mergeCell ref="J61:J62"/>
    <mergeCell ref="K61:K62"/>
    <mergeCell ref="C65:C66"/>
    <mergeCell ref="D65:E66"/>
    <mergeCell ref="F65:G66"/>
    <mergeCell ref="C67:C68"/>
    <mergeCell ref="D67:E68"/>
    <mergeCell ref="F67:G68"/>
    <mergeCell ref="C69:C70"/>
    <mergeCell ref="D69:E70"/>
    <mergeCell ref="F69:G70"/>
    <mergeCell ref="AN69:AN70"/>
    <mergeCell ref="M61:M62"/>
    <mergeCell ref="N61:N62"/>
    <mergeCell ref="O61:O62"/>
    <mergeCell ref="P61:P62"/>
    <mergeCell ref="Q61:Q62"/>
    <mergeCell ref="K11:K12"/>
    <mergeCell ref="AN75:AN77"/>
    <mergeCell ref="AN72:AN74"/>
    <mergeCell ref="AL73:AL74"/>
    <mergeCell ref="AI73:AI74"/>
    <mergeCell ref="AJ73:AJ74"/>
    <mergeCell ref="N75:N77"/>
    <mergeCell ref="O75:O77"/>
    <mergeCell ref="P75:P77"/>
    <mergeCell ref="Q75:Q77"/>
    <mergeCell ref="R75:R77"/>
    <mergeCell ref="S75:S77"/>
    <mergeCell ref="T75:T77"/>
    <mergeCell ref="U75:U77"/>
    <mergeCell ref="V75:V77"/>
    <mergeCell ref="AN53:AN54"/>
    <mergeCell ref="AN55:AN56"/>
    <mergeCell ref="AN57:AN58"/>
    <mergeCell ref="AN59:AN60"/>
    <mergeCell ref="Y53:Y54"/>
    <mergeCell ref="L11:L12"/>
    <mergeCell ref="AN27:AN28"/>
    <mergeCell ref="AN29:AN30"/>
    <mergeCell ref="AN31:AN32"/>
    <mergeCell ref="D17:E18"/>
    <mergeCell ref="L75:L77"/>
    <mergeCell ref="AM7:AM8"/>
    <mergeCell ref="Y6:Y8"/>
    <mergeCell ref="AB6:AG6"/>
    <mergeCell ref="AB7:AB8"/>
    <mergeCell ref="AC7:AC8"/>
    <mergeCell ref="AE7:AE8"/>
    <mergeCell ref="AF7:AF8"/>
    <mergeCell ref="AG7:AG8"/>
    <mergeCell ref="O37:O38"/>
    <mergeCell ref="L29:L30"/>
    <mergeCell ref="M29:M30"/>
    <mergeCell ref="N29:N30"/>
    <mergeCell ref="O29:O30"/>
    <mergeCell ref="L45:L46"/>
    <mergeCell ref="L37:L38"/>
    <mergeCell ref="H6:M6"/>
    <mergeCell ref="N6:Q6"/>
    <mergeCell ref="S6:U6"/>
    <mergeCell ref="V6:X6"/>
    <mergeCell ref="H11:H12"/>
    <mergeCell ref="I11:I12"/>
    <mergeCell ref="J11:J12"/>
    <mergeCell ref="N51:N52"/>
    <mergeCell ref="O51:O52"/>
    <mergeCell ref="P51:P52"/>
    <mergeCell ref="F13:G14"/>
    <mergeCell ref="F11:G12"/>
    <mergeCell ref="F9:G10"/>
    <mergeCell ref="D13:E14"/>
    <mergeCell ref="D11:E12"/>
    <mergeCell ref="D9:E10"/>
    <mergeCell ref="D15:E16"/>
    <mergeCell ref="H29:H30"/>
    <mergeCell ref="I29:I30"/>
    <mergeCell ref="J29:J30"/>
    <mergeCell ref="K29:K30"/>
    <mergeCell ref="H45:H46"/>
    <mergeCell ref="I45:I46"/>
    <mergeCell ref="J45:J46"/>
    <mergeCell ref="K45:K46"/>
    <mergeCell ref="H37:H38"/>
    <mergeCell ref="I37:I38"/>
    <mergeCell ref="J37:J38"/>
    <mergeCell ref="K37:K38"/>
    <mergeCell ref="F19:G20"/>
    <mergeCell ref="F15:G16"/>
    <mergeCell ref="C21:C22"/>
    <mergeCell ref="D21:E22"/>
    <mergeCell ref="F21:G22"/>
    <mergeCell ref="C23:C24"/>
    <mergeCell ref="D23:E24"/>
    <mergeCell ref="F23:G24"/>
    <mergeCell ref="C25:C26"/>
    <mergeCell ref="D25:E26"/>
    <mergeCell ref="F25:G26"/>
    <mergeCell ref="AO1:AO89"/>
    <mergeCell ref="A1:AN1"/>
    <mergeCell ref="AN6:AN8"/>
    <mergeCell ref="C2:M2"/>
    <mergeCell ref="C6:C8"/>
    <mergeCell ref="A2:A89"/>
    <mergeCell ref="C89:AM89"/>
    <mergeCell ref="AI2:AK2"/>
    <mergeCell ref="AL2:AM2"/>
    <mergeCell ref="AI3:AK3"/>
    <mergeCell ref="AI4:AK4"/>
    <mergeCell ref="AI5:AK5"/>
    <mergeCell ref="AL3:AM3"/>
    <mergeCell ref="AL4:AM4"/>
    <mergeCell ref="AL5:AM5"/>
    <mergeCell ref="C15:C16"/>
    <mergeCell ref="C17:C18"/>
    <mergeCell ref="D84:H84"/>
    <mergeCell ref="D85:H85"/>
    <mergeCell ref="D86:H86"/>
    <mergeCell ref="Y11:Y12"/>
    <mergeCell ref="Y13:Y14"/>
    <mergeCell ref="Y15:Y16"/>
    <mergeCell ref="F6:G8"/>
    <mergeCell ref="D83:H83"/>
    <mergeCell ref="S82:T82"/>
    <mergeCell ref="D80:H81"/>
    <mergeCell ref="C80:C81"/>
    <mergeCell ref="I80:J81"/>
    <mergeCell ref="K80:P80"/>
    <mergeCell ref="K81:L81"/>
    <mergeCell ref="M81:N81"/>
    <mergeCell ref="O81:P81"/>
    <mergeCell ref="Q80:R81"/>
    <mergeCell ref="I82:J82"/>
    <mergeCell ref="K82:L82"/>
    <mergeCell ref="M82:N82"/>
    <mergeCell ref="O82:P82"/>
    <mergeCell ref="Q82:R82"/>
    <mergeCell ref="I83:J83"/>
    <mergeCell ref="K83:L83"/>
    <mergeCell ref="M83:N83"/>
    <mergeCell ref="O83:P83"/>
    <mergeCell ref="Q83:R83"/>
    <mergeCell ref="S86:T86"/>
    <mergeCell ref="Q73:Q74"/>
    <mergeCell ref="U73:U74"/>
    <mergeCell ref="I86:J86"/>
    <mergeCell ref="K86:L86"/>
    <mergeCell ref="M86:N86"/>
    <mergeCell ref="O86:P86"/>
    <mergeCell ref="Q86:R86"/>
    <mergeCell ref="S84:T84"/>
    <mergeCell ref="I85:J85"/>
    <mergeCell ref="K85:L85"/>
    <mergeCell ref="M85:N85"/>
    <mergeCell ref="O85:P85"/>
    <mergeCell ref="Q85:R85"/>
    <mergeCell ref="S85:T85"/>
    <mergeCell ref="I84:J84"/>
    <mergeCell ref="K84:L84"/>
    <mergeCell ref="M84:N84"/>
    <mergeCell ref="O84:P84"/>
    <mergeCell ref="Q84:R84"/>
    <mergeCell ref="S83:T83"/>
    <mergeCell ref="S80:T81"/>
    <mergeCell ref="C79:T79"/>
    <mergeCell ref="D82:H82"/>
    <mergeCell ref="AF86:AG87"/>
    <mergeCell ref="AH86:AI87"/>
    <mergeCell ref="U79:U87"/>
    <mergeCell ref="V79:AD79"/>
    <mergeCell ref="V80:V81"/>
    <mergeCell ref="Y80:Y81"/>
    <mergeCell ref="AB80:AB81"/>
    <mergeCell ref="AC80:AC81"/>
    <mergeCell ref="W80:X81"/>
    <mergeCell ref="AD80:AD81"/>
    <mergeCell ref="W82:X82"/>
    <mergeCell ref="W83:X83"/>
    <mergeCell ref="W84:X84"/>
    <mergeCell ref="W85:X85"/>
    <mergeCell ref="W86:X86"/>
    <mergeCell ref="W87:X87"/>
    <mergeCell ref="AA80:AA81"/>
    <mergeCell ref="C88:K88"/>
    <mergeCell ref="L88:T88"/>
    <mergeCell ref="U88:AE88"/>
    <mergeCell ref="AF88:AN88"/>
    <mergeCell ref="AJ79:AJ87"/>
    <mergeCell ref="AK84:AN84"/>
    <mergeCell ref="AK85:AN85"/>
    <mergeCell ref="AK86:AN86"/>
    <mergeCell ref="AK87:AN87"/>
    <mergeCell ref="AK79:AN79"/>
    <mergeCell ref="AK80:AN80"/>
    <mergeCell ref="AK81:AN81"/>
    <mergeCell ref="AK82:AN82"/>
    <mergeCell ref="AK83:AN83"/>
    <mergeCell ref="AE79:AE87"/>
    <mergeCell ref="AF79:AI81"/>
    <mergeCell ref="AF82:AG82"/>
    <mergeCell ref="AH82:AI82"/>
    <mergeCell ref="AF83:AG83"/>
    <mergeCell ref="AH83:AI83"/>
    <mergeCell ref="AF84:AG84"/>
    <mergeCell ref="AH84:AI84"/>
    <mergeCell ref="AF85:AG85"/>
    <mergeCell ref="AH85:AI85"/>
    <mergeCell ref="E3:E4"/>
    <mergeCell ref="D3:D4"/>
    <mergeCell ref="M7:M8"/>
    <mergeCell ref="X73:X74"/>
    <mergeCell ref="AB73:AB74"/>
    <mergeCell ref="AC73:AC74"/>
    <mergeCell ref="AA72:AA74"/>
    <mergeCell ref="AD73:AD74"/>
    <mergeCell ref="AE73:AE74"/>
    <mergeCell ref="K3:K4"/>
    <mergeCell ref="P55:P56"/>
    <mergeCell ref="Q55:Q56"/>
    <mergeCell ref="R55:R56"/>
    <mergeCell ref="C71:X71"/>
    <mergeCell ref="R72:R74"/>
    <mergeCell ref="S72:U72"/>
    <mergeCell ref="C9:C10"/>
    <mergeCell ref="C11:C12"/>
    <mergeCell ref="C13:C14"/>
    <mergeCell ref="H51:H52"/>
    <mergeCell ref="I51:I52"/>
    <mergeCell ref="J51:J52"/>
    <mergeCell ref="K51:K52"/>
    <mergeCell ref="L51:L52"/>
    <mergeCell ref="AB72:AG72"/>
    <mergeCell ref="AH72:AM72"/>
    <mergeCell ref="AA6:AA8"/>
    <mergeCell ref="C78:AN78"/>
    <mergeCell ref="Y71:AN71"/>
    <mergeCell ref="AJ7:AJ8"/>
    <mergeCell ref="Y17:Y18"/>
    <mergeCell ref="AD7:AD8"/>
    <mergeCell ref="AK73:AK74"/>
    <mergeCell ref="U7:U8"/>
    <mergeCell ref="D6:E8"/>
    <mergeCell ref="AF73:AF74"/>
    <mergeCell ref="M75:M77"/>
    <mergeCell ref="C75:G77"/>
    <mergeCell ref="H75:H77"/>
    <mergeCell ref="I75:I77"/>
    <mergeCell ref="J75:J77"/>
    <mergeCell ref="W75:W77"/>
    <mergeCell ref="X75:X77"/>
    <mergeCell ref="K75:K77"/>
    <mergeCell ref="M51:M52"/>
    <mergeCell ref="F17:G18"/>
    <mergeCell ref="C19:C20"/>
    <mergeCell ref="D19:E20"/>
    <mergeCell ref="J3:J4"/>
    <mergeCell ref="I3:I4"/>
    <mergeCell ref="H3:H4"/>
    <mergeCell ref="G3:G4"/>
    <mergeCell ref="F3:F4"/>
    <mergeCell ref="C3:C4"/>
    <mergeCell ref="AM73:AM74"/>
    <mergeCell ref="Y72:Y77"/>
    <mergeCell ref="H72:M72"/>
    <mergeCell ref="N72:Q72"/>
    <mergeCell ref="C72:G73"/>
    <mergeCell ref="C74:G74"/>
    <mergeCell ref="AG73:AG74"/>
    <mergeCell ref="AH73:AH74"/>
    <mergeCell ref="V72:X72"/>
    <mergeCell ref="M73:M74"/>
    <mergeCell ref="Q51:Q52"/>
    <mergeCell ref="R51:R52"/>
    <mergeCell ref="K55:K56"/>
    <mergeCell ref="L55:L56"/>
    <mergeCell ref="M55:M56"/>
    <mergeCell ref="N55:N56"/>
    <mergeCell ref="O55:O56"/>
    <mergeCell ref="X7:X8"/>
    <mergeCell ref="AH6:AM6"/>
    <mergeCell ref="AH7:AH8"/>
    <mergeCell ref="AI7:AI8"/>
    <mergeCell ref="AK7:AK8"/>
    <mergeCell ref="AL7:AL8"/>
    <mergeCell ref="N2:AH2"/>
    <mergeCell ref="M3:M4"/>
    <mergeCell ref="L3:L4"/>
    <mergeCell ref="Q7:Q8"/>
    <mergeCell ref="R6:R8"/>
    <mergeCell ref="N5:AH5"/>
    <mergeCell ref="N3:AH4"/>
  </mergeCells>
  <conditionalFormatting sqref="B9:B70 H9:Y70 C9:E10 F9">
    <cfRule type="expression" dxfId="8" priority="5">
      <formula>$B9=0</formula>
    </cfRule>
    <cfRule type="expression" dxfId="7" priority="4">
      <formula>$B9="--"</formula>
    </cfRule>
  </conditionalFormatting>
  <conditionalFormatting sqref="Z9:AN70">
    <cfRule type="expression" dxfId="6" priority="3">
      <formula>$Z9=0</formula>
    </cfRule>
    <cfRule type="expression" dxfId="5" priority="2">
      <formula>$Z9="--"</formula>
    </cfRule>
  </conditionalFormatting>
  <conditionalFormatting sqref="C82:T86">
    <cfRule type="expression" dxfId="4" priority="1">
      <formula>$C82=0</formula>
    </cfRule>
  </conditionalFormatting>
  <pageMargins left="0.19685039370078741" right="0.19685039370078741" top="0.23622047244094491" bottom="0.23622047244094491" header="0.19685039370078741" footer="0.19685039370078741"/>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Help</vt:lpstr>
      <vt:lpstr>School Info</vt:lpstr>
      <vt:lpstr>Namankan</vt:lpstr>
      <vt:lpstr>Food-Data Entry</vt:lpstr>
      <vt:lpstr>MIlk-Data Entry</vt:lpstr>
      <vt:lpstr>MPR</vt:lpstr>
      <vt:lpstr>Upyogita Praman-Patra</vt:lpstr>
      <vt:lpstr>Food Stock 1-8</vt:lpstr>
      <vt:lpstr>Milk Stock &amp; Distri.Register</vt:lpstr>
      <vt:lpstr>Milk Quality Register</vt:lpstr>
      <vt:lpstr>Bill</vt:lpstr>
      <vt:lpstr>Bill!Print_Area</vt:lpstr>
      <vt:lpstr>'Food Stock 1-8'!Print_Area</vt:lpstr>
      <vt:lpstr>'Milk Quality Register'!Print_Area</vt:lpstr>
      <vt:lpstr>'Milk Stock &amp; Distri.Register'!Print_Area</vt:lpstr>
      <vt:lpstr>MPR!Print_Area</vt:lpstr>
      <vt:lpstr>'Upyogita Praman-Patra'!Print_Area</vt:lpstr>
      <vt:lpstr>'Milk Stock &amp; Distri.Register'!Print_Titles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cp:lastPrinted>2025-11-28T07:30:44Z</cp:lastPrinted>
  <dcterms:created xsi:type="dcterms:W3CDTF">2019-10-22T15:34:26Z</dcterms:created>
  <dcterms:modified xsi:type="dcterms:W3CDTF">2025-11-28T07:43:29Z</dcterms:modified>
</cp:coreProperties>
</file>