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Master Sheet" sheetId="1" r:id="rId1"/>
    <sheet name="DATA ENTRY" sheetId="5" r:id="rId2"/>
    <sheet name="Pay Chart" sheetId="2" r:id="rId3"/>
    <sheet name="Option Form" sheetId="4" r:id="rId4"/>
    <sheet name="New MACP FITTING" sheetId="6" r:id="rId5"/>
    <sheet name="Revised MACP FITTING" sheetId="7" r:id="rId6"/>
    <sheet name="Arrear" sheetId="8" r:id="rId7"/>
    <sheet name="Unlock Arrear sheet" sheetId="9" r:id="rId8"/>
  </sheets>
  <definedNames>
    <definedName name="month">Arrear!$BB$14:$BB$29</definedName>
    <definedName name="_xlnm.Print_Area" localSheetId="6">Arrear!$B$14:$Z$51</definedName>
    <definedName name="_xlnm.Print_Area" localSheetId="4">'New MACP FITTING'!$A$2:$O$30</definedName>
    <definedName name="_xlnm.Print_Area" localSheetId="3">'Option Form'!$B$1:$K$36</definedName>
    <definedName name="_xlnm.Print_Area" localSheetId="5">'Revised MACP FITTING'!$A$1:$O$31</definedName>
    <definedName name="_xlnm.Print_Area" localSheetId="7">'Unlock Arrear sheet'!$B$2:$AA$39</definedName>
  </definedNames>
  <calcPr calcId="124519"/>
</workbook>
</file>

<file path=xl/calcChain.xml><?xml version="1.0" encoding="utf-8"?>
<calcChain xmlns="http://schemas.openxmlformats.org/spreadsheetml/2006/main">
  <c r="W18" i="9"/>
  <c r="W19"/>
  <c r="W20"/>
  <c r="W21"/>
  <c r="W22"/>
  <c r="W23"/>
  <c r="W24"/>
  <c r="BK30" i="8"/>
  <c r="BL30"/>
  <c r="BM30"/>
  <c r="BN30"/>
  <c r="BH30"/>
  <c r="BI30"/>
  <c r="BE14"/>
  <c r="BD14"/>
  <c r="BC29"/>
  <c r="BD29" s="1"/>
  <c r="BC28"/>
  <c r="BD28" s="1"/>
  <c r="BC27"/>
  <c r="BD27" s="1"/>
  <c r="BC26"/>
  <c r="BD26" s="1"/>
  <c r="BC25"/>
  <c r="BD25" s="1"/>
  <c r="BC24"/>
  <c r="BD24" s="1"/>
  <c r="BC23"/>
  <c r="BD23" s="1"/>
  <c r="BC22"/>
  <c r="BD22" s="1"/>
  <c r="W11" i="9"/>
  <c r="W12"/>
  <c r="W13"/>
  <c r="W14"/>
  <c r="W15"/>
  <c r="W16"/>
  <c r="W17"/>
  <c r="W10"/>
  <c r="G48" i="8"/>
  <c r="U50"/>
  <c r="U38" i="9"/>
  <c r="U31"/>
  <c r="U43" i="8"/>
  <c r="U36" i="9"/>
  <c r="U29"/>
  <c r="U48" i="8"/>
  <c r="U41"/>
  <c r="S4" i="9"/>
  <c r="S16" i="8"/>
  <c r="M4" i="9"/>
  <c r="M16" i="8"/>
  <c r="F4" i="9"/>
  <c r="F16" i="8"/>
  <c r="M15"/>
  <c r="M3" i="9" s="1"/>
  <c r="C2"/>
  <c r="C14" i="8"/>
  <c r="J33" i="9"/>
  <c r="C5"/>
  <c r="Q11" i="8"/>
  <c r="O12" s="1"/>
  <c r="O15" i="1"/>
  <c r="R15" s="1"/>
  <c r="Z4" i="8"/>
  <c r="S6" s="1"/>
  <c r="C10" i="5"/>
  <c r="C8"/>
  <c r="D29" i="7"/>
  <c r="J45" i="8"/>
  <c r="M20" i="6"/>
  <c r="L30" i="7"/>
  <c r="BE29" i="8" l="1"/>
  <c r="BF29" s="1"/>
  <c r="BE26"/>
  <c r="BF26" s="1"/>
  <c r="C34" s="1"/>
  <c r="BE28"/>
  <c r="BF28" s="1"/>
  <c r="C36" s="1"/>
  <c r="C24" i="9" s="1"/>
  <c r="BE27" i="8"/>
  <c r="BF27" s="1"/>
  <c r="C35" s="1"/>
  <c r="G36" i="9"/>
  <c r="W37" i="8"/>
  <c r="S34" l="1"/>
  <c r="S22" i="9" s="1"/>
  <c r="C22"/>
  <c r="S35" i="8"/>
  <c r="S23" i="9" s="1"/>
  <c r="C23"/>
  <c r="BG29" i="8"/>
  <c r="BI29" s="1"/>
  <c r="BJ29"/>
  <c r="T35"/>
  <c r="T36"/>
  <c r="T24" i="9" s="1"/>
  <c r="S36" i="8"/>
  <c r="T34"/>
  <c r="BA29"/>
  <c r="BA28"/>
  <c r="BA27"/>
  <c r="Q15"/>
  <c r="Q3" i="9" s="1"/>
  <c r="W25" s="1"/>
  <c r="BH29" i="8" l="1"/>
  <c r="BM29"/>
  <c r="U35"/>
  <c r="T23" i="9"/>
  <c r="U23" s="1"/>
  <c r="U36" i="8"/>
  <c r="S24" i="9"/>
  <c r="U24" s="1"/>
  <c r="U34" i="8"/>
  <c r="T22" i="9"/>
  <c r="U22" s="1"/>
  <c r="BL29" i="8"/>
  <c r="BK29"/>
  <c r="BN29"/>
  <c r="BC15"/>
  <c r="BD15" s="1"/>
  <c r="BA26"/>
  <c r="BC6"/>
  <c r="BD6"/>
  <c r="BB31"/>
  <c r="BC21"/>
  <c r="BD21" s="1"/>
  <c r="BC20"/>
  <c r="BD20" s="1"/>
  <c r="BC19"/>
  <c r="BD19" s="1"/>
  <c r="BC18"/>
  <c r="BD18" s="1"/>
  <c r="BC17"/>
  <c r="BD17" s="1"/>
  <c r="BC16"/>
  <c r="BD16" s="1"/>
  <c r="BC36"/>
  <c r="BC32"/>
  <c r="BB32"/>
  <c r="BE22" l="1"/>
  <c r="BF22" s="1"/>
  <c r="BE18"/>
  <c r="BF18" s="1"/>
  <c r="BE23"/>
  <c r="BF23" s="1"/>
  <c r="BE19"/>
  <c r="BF19" s="1"/>
  <c r="BE15"/>
  <c r="BF15" s="1"/>
  <c r="BE24"/>
  <c r="BF24" s="1"/>
  <c r="BE20"/>
  <c r="BF20" s="1"/>
  <c r="BE16"/>
  <c r="BF16" s="1"/>
  <c r="BE25"/>
  <c r="BF25" s="1"/>
  <c r="C33" s="1"/>
  <c r="C21" i="9" s="1"/>
  <c r="BE21" i="8"/>
  <c r="BF21" s="1"/>
  <c r="BE17"/>
  <c r="BG15" l="1"/>
  <c r="BG16" s="1"/>
  <c r="BJ15"/>
  <c r="BJ16" s="1"/>
  <c r="T33"/>
  <c r="S33"/>
  <c r="S21" i="9" s="1"/>
  <c r="BF17" i="8"/>
  <c r="BB36"/>
  <c r="J13" i="6"/>
  <c r="BC14" i="8"/>
  <c r="Z2"/>
  <c r="Y2"/>
  <c r="W2"/>
  <c r="X2"/>
  <c r="C17"/>
  <c r="U33" l="1"/>
  <c r="T21" i="9"/>
  <c r="U21" s="1"/>
  <c r="C25" i="8"/>
  <c r="C13" i="9" s="1"/>
  <c r="BG17" i="8"/>
  <c r="BG18" s="1"/>
  <c r="BG19" s="1"/>
  <c r="BG20" s="1"/>
  <c r="BG21" s="1"/>
  <c r="BG22" s="1"/>
  <c r="BG23" s="1"/>
  <c r="BG24" s="1"/>
  <c r="BG25" s="1"/>
  <c r="BG26" s="1"/>
  <c r="BG27" s="1"/>
  <c r="BG28" s="1"/>
  <c r="BJ17"/>
  <c r="BJ18" s="1"/>
  <c r="BJ19" s="1"/>
  <c r="BJ20" s="1"/>
  <c r="BJ21" s="1"/>
  <c r="BJ22" s="1"/>
  <c r="BJ23" s="1"/>
  <c r="BJ24" s="1"/>
  <c r="BJ25" s="1"/>
  <c r="BJ26" s="1"/>
  <c r="BJ27" s="1"/>
  <c r="BJ28" s="1"/>
  <c r="BA17"/>
  <c r="T25"/>
  <c r="T13" i="9" s="1"/>
  <c r="S25" i="8"/>
  <c r="S13" i="9" s="1"/>
  <c r="BF14" i="8"/>
  <c r="X3"/>
  <c r="D35" l="1"/>
  <c r="D23" i="9" s="1"/>
  <c r="BK27" i="8"/>
  <c r="H35"/>
  <c r="H23" i="9" s="1"/>
  <c r="BM27" i="8"/>
  <c r="BN27"/>
  <c r="BH27"/>
  <c r="E35" s="1"/>
  <c r="E23" i="9" s="1"/>
  <c r="BL27" i="8"/>
  <c r="BI27"/>
  <c r="BK28"/>
  <c r="BN28"/>
  <c r="BL28"/>
  <c r="BM28"/>
  <c r="BI28"/>
  <c r="BH28"/>
  <c r="H36"/>
  <c r="H24" i="9" s="1"/>
  <c r="K24" s="1"/>
  <c r="Q35" i="8"/>
  <c r="Q23" i="9" s="1"/>
  <c r="I35" i="8"/>
  <c r="I23" i="9" s="1"/>
  <c r="F35" i="8"/>
  <c r="L35"/>
  <c r="L23" i="9" s="1"/>
  <c r="D36" i="8"/>
  <c r="D24" i="9" s="1"/>
  <c r="BL17" i="8"/>
  <c r="BK17"/>
  <c r="U13" i="9"/>
  <c r="BI17" i="8"/>
  <c r="BH17"/>
  <c r="BN15"/>
  <c r="BA15"/>
  <c r="C22"/>
  <c r="S22" s="1"/>
  <c r="S10" i="9" s="1"/>
  <c r="BA14" i="8"/>
  <c r="U25"/>
  <c r="BM15"/>
  <c r="BH12"/>
  <c r="C23"/>
  <c r="C11" i="9" s="1"/>
  <c r="BA25" i="8"/>
  <c r="BA16"/>
  <c r="BA19"/>
  <c r="BA22"/>
  <c r="BA21"/>
  <c r="BA20"/>
  <c r="BA23"/>
  <c r="BA24"/>
  <c r="BA18"/>
  <c r="A2" i="7"/>
  <c r="J35" i="8" l="1"/>
  <c r="J23" i="9" s="1"/>
  <c r="P35" i="8"/>
  <c r="P23" i="9" s="1"/>
  <c r="R23" s="1"/>
  <c r="R35" i="8"/>
  <c r="N35"/>
  <c r="N23" i="9" s="1"/>
  <c r="F23"/>
  <c r="G23" s="1"/>
  <c r="O23"/>
  <c r="K23"/>
  <c r="E36" i="8"/>
  <c r="E24" i="9" s="1"/>
  <c r="G24" s="1"/>
  <c r="F36" i="8"/>
  <c r="F24" i="9" s="1"/>
  <c r="L36" i="8"/>
  <c r="L24" i="9" s="1"/>
  <c r="O24" s="1"/>
  <c r="P36" i="8"/>
  <c r="P24" i="9" s="1"/>
  <c r="J36" i="8"/>
  <c r="J24" i="9" s="1"/>
  <c r="Q36" i="8"/>
  <c r="Q24" i="9" s="1"/>
  <c r="I36" i="8"/>
  <c r="I24" i="9" s="1"/>
  <c r="K35" i="8"/>
  <c r="G35"/>
  <c r="M35"/>
  <c r="M23" i="9" s="1"/>
  <c r="C10"/>
  <c r="T22" i="8"/>
  <c r="T10" i="9" s="1"/>
  <c r="U10" s="1"/>
  <c r="BN16" i="8"/>
  <c r="T23"/>
  <c r="T11" i="9" s="1"/>
  <c r="S23" i="8"/>
  <c r="S11" i="9" s="1"/>
  <c r="D23" i="8"/>
  <c r="H23"/>
  <c r="BL15"/>
  <c r="BK15"/>
  <c r="C32"/>
  <c r="C20" i="9" s="1"/>
  <c r="C26" i="8"/>
  <c r="C14" i="9" s="1"/>
  <c r="C29" i="8"/>
  <c r="C17" i="9" s="1"/>
  <c r="C28" i="8"/>
  <c r="C16" i="9" s="1"/>
  <c r="C24" i="8"/>
  <c r="BM16"/>
  <c r="C31"/>
  <c r="C19" i="9" s="1"/>
  <c r="BH15" i="8"/>
  <c r="BI15"/>
  <c r="C27"/>
  <c r="C15" i="9" s="1"/>
  <c r="C30" i="8"/>
  <c r="C18" i="9" s="1"/>
  <c r="A22" i="8"/>
  <c r="B22" s="1"/>
  <c r="BG14"/>
  <c r="BJ14"/>
  <c r="BN14" s="1"/>
  <c r="M29" i="6"/>
  <c r="M22"/>
  <c r="L23" i="7"/>
  <c r="E30"/>
  <c r="L21"/>
  <c r="L28"/>
  <c r="M27" i="6"/>
  <c r="M28"/>
  <c r="M21"/>
  <c r="D28"/>
  <c r="Z2" i="7"/>
  <c r="M14"/>
  <c r="N14" s="1"/>
  <c r="L14"/>
  <c r="K14"/>
  <c r="J14"/>
  <c r="I14"/>
  <c r="H14"/>
  <c r="F14"/>
  <c r="L25"/>
  <c r="G14"/>
  <c r="D14"/>
  <c r="B14"/>
  <c r="Z2" i="6"/>
  <c r="L13"/>
  <c r="O13" s="1"/>
  <c r="I13"/>
  <c r="K13"/>
  <c r="H13"/>
  <c r="F13"/>
  <c r="G13"/>
  <c r="D13"/>
  <c r="B13"/>
  <c r="D31" i="4"/>
  <c r="I27"/>
  <c r="I24"/>
  <c r="I25"/>
  <c r="I15"/>
  <c r="I14"/>
  <c r="I23"/>
  <c r="I13"/>
  <c r="D4"/>
  <c r="D8"/>
  <c r="E29" i="6"/>
  <c r="K24"/>
  <c r="C5" i="5"/>
  <c r="A2" i="6"/>
  <c r="C12" i="2"/>
  <c r="C64" s="1"/>
  <c r="H10" i="5"/>
  <c r="C6"/>
  <c r="E12" i="2"/>
  <c r="E13" s="1"/>
  <c r="E14" s="1"/>
  <c r="E15" s="1"/>
  <c r="E16" s="1"/>
  <c r="E17" s="1"/>
  <c r="E18" s="1"/>
  <c r="E19" s="1"/>
  <c r="E20" s="1"/>
  <c r="E21" s="1"/>
  <c r="E22" s="1"/>
  <c r="E23" s="1"/>
  <c r="E24" s="1"/>
  <c r="E25" s="1"/>
  <c r="E26" s="1"/>
  <c r="E27" s="1"/>
  <c r="E28" s="1"/>
  <c r="E29" s="1"/>
  <c r="E30" s="1"/>
  <c r="E31" s="1"/>
  <c r="E32" s="1"/>
  <c r="E33" s="1"/>
  <c r="E34" s="1"/>
  <c r="E35" s="1"/>
  <c r="E36" s="1"/>
  <c r="E37" s="1"/>
  <c r="E38" s="1"/>
  <c r="E39" s="1"/>
  <c r="E40" s="1"/>
  <c r="E41" s="1"/>
  <c r="E42" s="1"/>
  <c r="E43" s="1"/>
  <c r="E44" s="1"/>
  <c r="E45" s="1"/>
  <c r="E46" s="1"/>
  <c r="E47" s="1"/>
  <c r="E48" s="1"/>
  <c r="E49" s="1"/>
  <c r="E50" s="1"/>
  <c r="F12"/>
  <c r="F13" s="1"/>
  <c r="F14" s="1"/>
  <c r="F15" s="1"/>
  <c r="F16" s="1"/>
  <c r="F17" s="1"/>
  <c r="F18" s="1"/>
  <c r="F19" s="1"/>
  <c r="F20" s="1"/>
  <c r="F21" s="1"/>
  <c r="F22" s="1"/>
  <c r="F23" s="1"/>
  <c r="F24" s="1"/>
  <c r="F25" s="1"/>
  <c r="F26" s="1"/>
  <c r="F27" s="1"/>
  <c r="F28" s="1"/>
  <c r="F29" s="1"/>
  <c r="F30" s="1"/>
  <c r="F31" s="1"/>
  <c r="F32" s="1"/>
  <c r="F33" s="1"/>
  <c r="F34" s="1"/>
  <c r="F35" s="1"/>
  <c r="F36" s="1"/>
  <c r="F37" s="1"/>
  <c r="F38" s="1"/>
  <c r="F39" s="1"/>
  <c r="F40" s="1"/>
  <c r="F41" s="1"/>
  <c r="F42" s="1"/>
  <c r="F43" s="1"/>
  <c r="F44" s="1"/>
  <c r="F45" s="1"/>
  <c r="F46" s="1"/>
  <c r="F47" s="1"/>
  <c r="F48" s="1"/>
  <c r="F49" s="1"/>
  <c r="F50" s="1"/>
  <c r="G12"/>
  <c r="G13" s="1"/>
  <c r="G14" s="1"/>
  <c r="G15" s="1"/>
  <c r="G16" s="1"/>
  <c r="G17" s="1"/>
  <c r="G18" s="1"/>
  <c r="G19" s="1"/>
  <c r="G20" s="1"/>
  <c r="G21" s="1"/>
  <c r="G22" s="1"/>
  <c r="G23" s="1"/>
  <c r="G24" s="1"/>
  <c r="G25" s="1"/>
  <c r="G26" s="1"/>
  <c r="G27" s="1"/>
  <c r="G28" s="1"/>
  <c r="G29" s="1"/>
  <c r="G30" s="1"/>
  <c r="G31" s="1"/>
  <c r="G32" s="1"/>
  <c r="G33" s="1"/>
  <c r="G34" s="1"/>
  <c r="G35" s="1"/>
  <c r="G36" s="1"/>
  <c r="G37" s="1"/>
  <c r="G38" s="1"/>
  <c r="G39" s="1"/>
  <c r="G40" s="1"/>
  <c r="G41" s="1"/>
  <c r="G42" s="1"/>
  <c r="G43" s="1"/>
  <c r="G44" s="1"/>
  <c r="G45" s="1"/>
  <c r="G46" s="1"/>
  <c r="G47" s="1"/>
  <c r="G48" s="1"/>
  <c r="G49" s="1"/>
  <c r="G50" s="1"/>
  <c r="H12"/>
  <c r="H13" s="1"/>
  <c r="H14" s="1"/>
  <c r="H15" s="1"/>
  <c r="H16" s="1"/>
  <c r="H17" s="1"/>
  <c r="H18" s="1"/>
  <c r="H19" s="1"/>
  <c r="H20" s="1"/>
  <c r="H21" s="1"/>
  <c r="H22" s="1"/>
  <c r="H23" s="1"/>
  <c r="H24" s="1"/>
  <c r="H25" s="1"/>
  <c r="H26" s="1"/>
  <c r="H27" s="1"/>
  <c r="H28" s="1"/>
  <c r="H29" s="1"/>
  <c r="H30" s="1"/>
  <c r="H31" s="1"/>
  <c r="H32" s="1"/>
  <c r="H33" s="1"/>
  <c r="H34" s="1"/>
  <c r="H35" s="1"/>
  <c r="H36" s="1"/>
  <c r="H37" s="1"/>
  <c r="H38" s="1"/>
  <c r="H39" s="1"/>
  <c r="H40" s="1"/>
  <c r="H41" s="1"/>
  <c r="H42" s="1"/>
  <c r="H43" s="1"/>
  <c r="H44" s="1"/>
  <c r="H45" s="1"/>
  <c r="H46" s="1"/>
  <c r="H47" s="1"/>
  <c r="H48" s="1"/>
  <c r="H49" s="1"/>
  <c r="H50" s="1"/>
  <c r="I12"/>
  <c r="I13" s="1"/>
  <c r="I14" s="1"/>
  <c r="I15" s="1"/>
  <c r="I16" s="1"/>
  <c r="I17" s="1"/>
  <c r="I18" s="1"/>
  <c r="I19" s="1"/>
  <c r="I20" s="1"/>
  <c r="I21" s="1"/>
  <c r="I22" s="1"/>
  <c r="I23" s="1"/>
  <c r="I24" s="1"/>
  <c r="I25" s="1"/>
  <c r="I26" s="1"/>
  <c r="I27" s="1"/>
  <c r="I28" s="1"/>
  <c r="I29" s="1"/>
  <c r="I30" s="1"/>
  <c r="I31" s="1"/>
  <c r="I32" s="1"/>
  <c r="I33" s="1"/>
  <c r="I34" s="1"/>
  <c r="I35" s="1"/>
  <c r="I36" s="1"/>
  <c r="I37" s="1"/>
  <c r="I38" s="1"/>
  <c r="I39" s="1"/>
  <c r="I40" s="1"/>
  <c r="I41" s="1"/>
  <c r="I42" s="1"/>
  <c r="I43" s="1"/>
  <c r="I44" s="1"/>
  <c r="I45" s="1"/>
  <c r="I46" s="1"/>
  <c r="I47" s="1"/>
  <c r="I48" s="1"/>
  <c r="I49" s="1"/>
  <c r="I50" s="1"/>
  <c r="J12"/>
  <c r="J13" s="1"/>
  <c r="J14" s="1"/>
  <c r="J15" s="1"/>
  <c r="J16" s="1"/>
  <c r="J17" s="1"/>
  <c r="J18" s="1"/>
  <c r="J19" s="1"/>
  <c r="J20" s="1"/>
  <c r="J21" s="1"/>
  <c r="J22" s="1"/>
  <c r="J23" s="1"/>
  <c r="J24" s="1"/>
  <c r="J25" s="1"/>
  <c r="J26" s="1"/>
  <c r="J27" s="1"/>
  <c r="J28" s="1"/>
  <c r="J29" s="1"/>
  <c r="J30" s="1"/>
  <c r="J31" s="1"/>
  <c r="J32" s="1"/>
  <c r="J33" s="1"/>
  <c r="J34" s="1"/>
  <c r="J35" s="1"/>
  <c r="J36" s="1"/>
  <c r="J37" s="1"/>
  <c r="J38" s="1"/>
  <c r="J39" s="1"/>
  <c r="J40" s="1"/>
  <c r="J41" s="1"/>
  <c r="J42" s="1"/>
  <c r="J43" s="1"/>
  <c r="J44" s="1"/>
  <c r="J45" s="1"/>
  <c r="J46" s="1"/>
  <c r="J47" s="1"/>
  <c r="J48" s="1"/>
  <c r="J49" s="1"/>
  <c r="J50" s="1"/>
  <c r="K12"/>
  <c r="K13" s="1"/>
  <c r="K14" s="1"/>
  <c r="K15" s="1"/>
  <c r="K16" s="1"/>
  <c r="K17" s="1"/>
  <c r="K18" s="1"/>
  <c r="K19" s="1"/>
  <c r="K20" s="1"/>
  <c r="K21" s="1"/>
  <c r="K22" s="1"/>
  <c r="K23" s="1"/>
  <c r="K24" s="1"/>
  <c r="K25" s="1"/>
  <c r="K26" s="1"/>
  <c r="K27" s="1"/>
  <c r="K28" s="1"/>
  <c r="K29" s="1"/>
  <c r="K30" s="1"/>
  <c r="K31" s="1"/>
  <c r="K32" s="1"/>
  <c r="K33" s="1"/>
  <c r="K34" s="1"/>
  <c r="K35" s="1"/>
  <c r="K36" s="1"/>
  <c r="K37" s="1"/>
  <c r="K38" s="1"/>
  <c r="K39" s="1"/>
  <c r="K40" s="1"/>
  <c r="K41" s="1"/>
  <c r="K42" s="1"/>
  <c r="K43" s="1"/>
  <c r="K44" s="1"/>
  <c r="K45" s="1"/>
  <c r="K46" s="1"/>
  <c r="K47" s="1"/>
  <c r="K48" s="1"/>
  <c r="K49" s="1"/>
  <c r="K50" s="1"/>
  <c r="L12"/>
  <c r="M12"/>
  <c r="M13" s="1"/>
  <c r="M14" s="1"/>
  <c r="M15" s="1"/>
  <c r="M16" s="1"/>
  <c r="M17" s="1"/>
  <c r="M18" s="1"/>
  <c r="M19" s="1"/>
  <c r="M20" s="1"/>
  <c r="M21" s="1"/>
  <c r="M22" s="1"/>
  <c r="M23" s="1"/>
  <c r="M24" s="1"/>
  <c r="M25" s="1"/>
  <c r="M26" s="1"/>
  <c r="M27" s="1"/>
  <c r="M28" s="1"/>
  <c r="M29" s="1"/>
  <c r="M30" s="1"/>
  <c r="M31" s="1"/>
  <c r="M32" s="1"/>
  <c r="M33" s="1"/>
  <c r="M34" s="1"/>
  <c r="M35" s="1"/>
  <c r="M36" s="1"/>
  <c r="M37" s="1"/>
  <c r="M38" s="1"/>
  <c r="M39" s="1"/>
  <c r="M40" s="1"/>
  <c r="M41" s="1"/>
  <c r="M42" s="1"/>
  <c r="M43" s="1"/>
  <c r="M44" s="1"/>
  <c r="M45" s="1"/>
  <c r="M46" s="1"/>
  <c r="M47" s="1"/>
  <c r="M48" s="1"/>
  <c r="M49" s="1"/>
  <c r="M50" s="1"/>
  <c r="N12"/>
  <c r="N13" s="1"/>
  <c r="N14" s="1"/>
  <c r="N15" s="1"/>
  <c r="N16" s="1"/>
  <c r="N17" s="1"/>
  <c r="N18" s="1"/>
  <c r="N19" s="1"/>
  <c r="N20" s="1"/>
  <c r="N21" s="1"/>
  <c r="N22" s="1"/>
  <c r="N23" s="1"/>
  <c r="N24" s="1"/>
  <c r="N25" s="1"/>
  <c r="N26" s="1"/>
  <c r="N27" s="1"/>
  <c r="N28" s="1"/>
  <c r="N29" s="1"/>
  <c r="N30" s="1"/>
  <c r="N31" s="1"/>
  <c r="N32" s="1"/>
  <c r="N33" s="1"/>
  <c r="N34" s="1"/>
  <c r="N35" s="1"/>
  <c r="N36" s="1"/>
  <c r="N37" s="1"/>
  <c r="N38" s="1"/>
  <c r="N39" s="1"/>
  <c r="N40" s="1"/>
  <c r="N41" s="1"/>
  <c r="N42" s="1"/>
  <c r="N43" s="1"/>
  <c r="N44" s="1"/>
  <c r="N45" s="1"/>
  <c r="N46" s="1"/>
  <c r="N47" s="1"/>
  <c r="N48" s="1"/>
  <c r="N49" s="1"/>
  <c r="N50" s="1"/>
  <c r="O12"/>
  <c r="O13" s="1"/>
  <c r="O14" s="1"/>
  <c r="O15" s="1"/>
  <c r="O16" s="1"/>
  <c r="O17" s="1"/>
  <c r="O18" s="1"/>
  <c r="O19" s="1"/>
  <c r="O20" s="1"/>
  <c r="O21" s="1"/>
  <c r="O22" s="1"/>
  <c r="O23" s="1"/>
  <c r="O24" s="1"/>
  <c r="O25" s="1"/>
  <c r="O26" s="1"/>
  <c r="O27" s="1"/>
  <c r="O28" s="1"/>
  <c r="O29" s="1"/>
  <c r="O30" s="1"/>
  <c r="O31" s="1"/>
  <c r="O32" s="1"/>
  <c r="O33" s="1"/>
  <c r="O34" s="1"/>
  <c r="O35" s="1"/>
  <c r="O36" s="1"/>
  <c r="O37" s="1"/>
  <c r="O38" s="1"/>
  <c r="O39" s="1"/>
  <c r="O40" s="1"/>
  <c r="O41" s="1"/>
  <c r="O42" s="1"/>
  <c r="O43" s="1"/>
  <c r="O44" s="1"/>
  <c r="O45" s="1"/>
  <c r="O46" s="1"/>
  <c r="O47" s="1"/>
  <c r="O48" s="1"/>
  <c r="O49" s="1"/>
  <c r="O50" s="1"/>
  <c r="P12"/>
  <c r="P13" s="1"/>
  <c r="P14" s="1"/>
  <c r="P15" s="1"/>
  <c r="P16" s="1"/>
  <c r="P17" s="1"/>
  <c r="P18" s="1"/>
  <c r="P19" s="1"/>
  <c r="P20" s="1"/>
  <c r="P21" s="1"/>
  <c r="P22" s="1"/>
  <c r="P23" s="1"/>
  <c r="P24" s="1"/>
  <c r="P25" s="1"/>
  <c r="P26" s="1"/>
  <c r="P27" s="1"/>
  <c r="P28" s="1"/>
  <c r="P29" s="1"/>
  <c r="P30" s="1"/>
  <c r="P31" s="1"/>
  <c r="P32" s="1"/>
  <c r="P33" s="1"/>
  <c r="P34" s="1"/>
  <c r="P35" s="1"/>
  <c r="P36" s="1"/>
  <c r="P37" s="1"/>
  <c r="P38" s="1"/>
  <c r="P39" s="1"/>
  <c r="P40" s="1"/>
  <c r="P41" s="1"/>
  <c r="P42" s="1"/>
  <c r="P43" s="1"/>
  <c r="P44" s="1"/>
  <c r="P45" s="1"/>
  <c r="P46" s="1"/>
  <c r="P47" s="1"/>
  <c r="P48" s="1"/>
  <c r="P49" s="1"/>
  <c r="P50" s="1"/>
  <c r="Q12"/>
  <c r="Q13" s="1"/>
  <c r="Q14" s="1"/>
  <c r="Q15" s="1"/>
  <c r="Q16" s="1"/>
  <c r="Q17" s="1"/>
  <c r="Q18" s="1"/>
  <c r="Q19" s="1"/>
  <c r="Q20" s="1"/>
  <c r="Q21" s="1"/>
  <c r="Q22" s="1"/>
  <c r="Q23" s="1"/>
  <c r="Q24" s="1"/>
  <c r="Q25" s="1"/>
  <c r="Q26" s="1"/>
  <c r="Q27" s="1"/>
  <c r="Q28" s="1"/>
  <c r="Q29" s="1"/>
  <c r="Q30" s="1"/>
  <c r="Q31" s="1"/>
  <c r="Q32" s="1"/>
  <c r="Q33" s="1"/>
  <c r="Q34" s="1"/>
  <c r="Q35" s="1"/>
  <c r="Q36" s="1"/>
  <c r="Q37" s="1"/>
  <c r="Q38" s="1"/>
  <c r="Q39" s="1"/>
  <c r="Q40" s="1"/>
  <c r="Q41" s="1"/>
  <c r="Q42" s="1"/>
  <c r="Q43" s="1"/>
  <c r="Q44" s="1"/>
  <c r="Q45" s="1"/>
  <c r="Q46" s="1"/>
  <c r="Q47" s="1"/>
  <c r="Q48" s="1"/>
  <c r="Q49" s="1"/>
  <c r="Q50" s="1"/>
  <c r="R12"/>
  <c r="R13" s="1"/>
  <c r="R14" s="1"/>
  <c r="R15" s="1"/>
  <c r="R16" s="1"/>
  <c r="R17" s="1"/>
  <c r="R18" s="1"/>
  <c r="R19" s="1"/>
  <c r="R20" s="1"/>
  <c r="R21" s="1"/>
  <c r="R22" s="1"/>
  <c r="R23" s="1"/>
  <c r="R24" s="1"/>
  <c r="R25" s="1"/>
  <c r="R26" s="1"/>
  <c r="R27" s="1"/>
  <c r="R28" s="1"/>
  <c r="R29" s="1"/>
  <c r="R30" s="1"/>
  <c r="R31" s="1"/>
  <c r="R32" s="1"/>
  <c r="R33" s="1"/>
  <c r="R34" s="1"/>
  <c r="R35" s="1"/>
  <c r="R36" s="1"/>
  <c r="R37" s="1"/>
  <c r="R38" s="1"/>
  <c r="R39" s="1"/>
  <c r="R40" s="1"/>
  <c r="R41" s="1"/>
  <c r="R42" s="1"/>
  <c r="R43" s="1"/>
  <c r="R44" s="1"/>
  <c r="R45" s="1"/>
  <c r="R46" s="1"/>
  <c r="R47" s="1"/>
  <c r="S12"/>
  <c r="S13" s="1"/>
  <c r="S14" s="1"/>
  <c r="S15" s="1"/>
  <c r="S16" s="1"/>
  <c r="S17" s="1"/>
  <c r="S18" s="1"/>
  <c r="S19" s="1"/>
  <c r="S20" s="1"/>
  <c r="S21" s="1"/>
  <c r="S22" s="1"/>
  <c r="S23" s="1"/>
  <c r="S24" s="1"/>
  <c r="S25" s="1"/>
  <c r="S26" s="1"/>
  <c r="S27" s="1"/>
  <c r="S28" s="1"/>
  <c r="S29" s="1"/>
  <c r="S30" s="1"/>
  <c r="S31" s="1"/>
  <c r="S32" s="1"/>
  <c r="S33" s="1"/>
  <c r="S34" s="1"/>
  <c r="S35" s="1"/>
  <c r="S36" s="1"/>
  <c r="S37" s="1"/>
  <c r="S38" s="1"/>
  <c r="S39" s="1"/>
  <c r="S40" s="1"/>
  <c r="S41" s="1"/>
  <c r="S42" s="1"/>
  <c r="S43" s="1"/>
  <c r="S44" s="1"/>
  <c r="S45" s="1"/>
  <c r="S46" s="1"/>
  <c r="T12"/>
  <c r="T13" s="1"/>
  <c r="T14" s="1"/>
  <c r="T15" s="1"/>
  <c r="T16" s="1"/>
  <c r="T17" s="1"/>
  <c r="T18" s="1"/>
  <c r="T19" s="1"/>
  <c r="T20" s="1"/>
  <c r="T21" s="1"/>
  <c r="T22" s="1"/>
  <c r="T23" s="1"/>
  <c r="T24" s="1"/>
  <c r="T25" s="1"/>
  <c r="T26" s="1"/>
  <c r="T27" s="1"/>
  <c r="T28" s="1"/>
  <c r="T29" s="1"/>
  <c r="T30" s="1"/>
  <c r="T31" s="1"/>
  <c r="T32" s="1"/>
  <c r="T33" s="1"/>
  <c r="T34" s="1"/>
  <c r="T35" s="1"/>
  <c r="T36" s="1"/>
  <c r="T37" s="1"/>
  <c r="T38" s="1"/>
  <c r="T39" s="1"/>
  <c r="T40" s="1"/>
  <c r="T41" s="1"/>
  <c r="T42" s="1"/>
  <c r="T43" s="1"/>
  <c r="T44" s="1"/>
  <c r="U12"/>
  <c r="U13" s="1"/>
  <c r="U14" s="1"/>
  <c r="U15" s="1"/>
  <c r="U16" s="1"/>
  <c r="U17" s="1"/>
  <c r="U18" s="1"/>
  <c r="U19" s="1"/>
  <c r="U20" s="1"/>
  <c r="U21" s="1"/>
  <c r="U22" s="1"/>
  <c r="U23" s="1"/>
  <c r="U24" s="1"/>
  <c r="U25" s="1"/>
  <c r="U26" s="1"/>
  <c r="U27" s="1"/>
  <c r="U28" s="1"/>
  <c r="U29" s="1"/>
  <c r="U30" s="1"/>
  <c r="U31" s="1"/>
  <c r="U32" s="1"/>
  <c r="U33" s="1"/>
  <c r="U34" s="1"/>
  <c r="U35" s="1"/>
  <c r="U36" s="1"/>
  <c r="U37" s="1"/>
  <c r="U38" s="1"/>
  <c r="U39" s="1"/>
  <c r="U40" s="1"/>
  <c r="U41" s="1"/>
  <c r="U42" s="1"/>
  <c r="V12"/>
  <c r="V13" s="1"/>
  <c r="V14" s="1"/>
  <c r="V15" s="1"/>
  <c r="V16" s="1"/>
  <c r="V17" s="1"/>
  <c r="V18" s="1"/>
  <c r="V19" s="1"/>
  <c r="V20" s="1"/>
  <c r="V21" s="1"/>
  <c r="V22" s="1"/>
  <c r="V23" s="1"/>
  <c r="V24" s="1"/>
  <c r="V25" s="1"/>
  <c r="V26" s="1"/>
  <c r="V27" s="1"/>
  <c r="V28" s="1"/>
  <c r="V29" s="1"/>
  <c r="V30" s="1"/>
  <c r="V31" s="1"/>
  <c r="V32" s="1"/>
  <c r="V33" s="1"/>
  <c r="V34" s="1"/>
  <c r="V35" s="1"/>
  <c r="V36" s="1"/>
  <c r="V37" s="1"/>
  <c r="V38" s="1"/>
  <c r="V39" s="1"/>
  <c r="W12"/>
  <c r="W13" s="1"/>
  <c r="W14" s="1"/>
  <c r="W15" s="1"/>
  <c r="W16" s="1"/>
  <c r="W17" s="1"/>
  <c r="W18" s="1"/>
  <c r="W19" s="1"/>
  <c r="W20" s="1"/>
  <c r="W21" s="1"/>
  <c r="W22" s="1"/>
  <c r="W23" s="1"/>
  <c r="W24" s="1"/>
  <c r="W25" s="1"/>
  <c r="W26" s="1"/>
  <c r="W27" s="1"/>
  <c r="W28" s="1"/>
  <c r="X12"/>
  <c r="X13" s="1"/>
  <c r="X14" s="1"/>
  <c r="X15" s="1"/>
  <c r="X16" s="1"/>
  <c r="X17" s="1"/>
  <c r="X18" s="1"/>
  <c r="X19" s="1"/>
  <c r="X20" s="1"/>
  <c r="X21" s="1"/>
  <c r="X22" s="1"/>
  <c r="X23" s="1"/>
  <c r="X24" s="1"/>
  <c r="X25" s="1"/>
  <c r="X26" s="1"/>
  <c r="X27" s="1"/>
  <c r="Y12"/>
  <c r="Y13" s="1"/>
  <c r="Y14" s="1"/>
  <c r="Y15" s="1"/>
  <c r="Y16" s="1"/>
  <c r="Y17" s="1"/>
  <c r="Y18" s="1"/>
  <c r="Y19" s="1"/>
  <c r="Y20" s="1"/>
  <c r="Y21" s="1"/>
  <c r="Y22" s="1"/>
  <c r="Y23" s="1"/>
  <c r="Y24" s="1"/>
  <c r="Z12"/>
  <c r="Z13" s="1"/>
  <c r="Z14" s="1"/>
  <c r="Z15" s="1"/>
  <c r="Z16" s="1"/>
  <c r="Z17" s="1"/>
  <c r="Z18" s="1"/>
  <c r="Z19" s="1"/>
  <c r="Z20" s="1"/>
  <c r="Z21" s="1"/>
  <c r="Z22" s="1"/>
  <c r="Z23" s="1"/>
  <c r="Z24" s="1"/>
  <c r="C13"/>
  <c r="C14" s="1"/>
  <c r="C15" s="1"/>
  <c r="C16" s="1"/>
  <c r="C17" s="1"/>
  <c r="C18" s="1"/>
  <c r="C19" s="1"/>
  <c r="C20" s="1"/>
  <c r="C21" s="1"/>
  <c r="C22" s="1"/>
  <c r="C23" s="1"/>
  <c r="C24" s="1"/>
  <c r="C25" s="1"/>
  <c r="C26" s="1"/>
  <c r="C27" s="1"/>
  <c r="C28" s="1"/>
  <c r="C29" s="1"/>
  <c r="C30" s="1"/>
  <c r="C31" s="1"/>
  <c r="C32" s="1"/>
  <c r="C33" s="1"/>
  <c r="C34" s="1"/>
  <c r="C35" s="1"/>
  <c r="C36" s="1"/>
  <c r="C37" s="1"/>
  <c r="C38" s="1"/>
  <c r="C39" s="1"/>
  <c r="C40" s="1"/>
  <c r="C41" s="1"/>
  <c r="C42" s="1"/>
  <c r="C43" s="1"/>
  <c r="C44" s="1"/>
  <c r="C45" s="1"/>
  <c r="C46" s="1"/>
  <c r="C47" s="1"/>
  <c r="C48" s="1"/>
  <c r="C49" s="1"/>
  <c r="C50" s="1"/>
  <c r="D12"/>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V15" i="1"/>
  <c r="V16" s="1"/>
  <c r="V17" s="1"/>
  <c r="I35" s="1"/>
  <c r="W15"/>
  <c r="W16" s="1"/>
  <c r="W17" s="1"/>
  <c r="N35" s="1"/>
  <c r="J27"/>
  <c r="O27" s="1"/>
  <c r="J25"/>
  <c r="O25" s="1"/>
  <c r="J23"/>
  <c r="O23" s="1"/>
  <c r="O19"/>
  <c r="R19" s="1"/>
  <c r="O17"/>
  <c r="R17" s="1"/>
  <c r="R24" i="9" l="1"/>
  <c r="K36" i="8"/>
  <c r="R36"/>
  <c r="G36"/>
  <c r="M36"/>
  <c r="M24" i="9" s="1"/>
  <c r="O35" i="8"/>
  <c r="V35" s="1"/>
  <c r="N36"/>
  <c r="N24" i="9" s="1"/>
  <c r="BI19" i="8"/>
  <c r="BH19"/>
  <c r="U22"/>
  <c r="BL18"/>
  <c r="C12" i="9"/>
  <c r="BK16" i="8"/>
  <c r="BH16"/>
  <c r="BL16"/>
  <c r="BI16"/>
  <c r="BK18"/>
  <c r="BI18"/>
  <c r="BM14"/>
  <c r="BI14"/>
  <c r="BH18"/>
  <c r="BL19"/>
  <c r="BK19"/>
  <c r="A23"/>
  <c r="B23" s="1"/>
  <c r="B11" i="9" s="1"/>
  <c r="B10"/>
  <c r="Q23" i="8"/>
  <c r="Q11" i="9" s="1"/>
  <c r="H11"/>
  <c r="U11"/>
  <c r="P23" i="8"/>
  <c r="P11" i="9" s="1"/>
  <c r="D11"/>
  <c r="I33" i="1"/>
  <c r="I31"/>
  <c r="N33"/>
  <c r="N31"/>
  <c r="F23" i="8"/>
  <c r="F11" i="9" s="1"/>
  <c r="E23" i="8"/>
  <c r="E11" i="9" s="1"/>
  <c r="BN17" i="8"/>
  <c r="T27"/>
  <c r="T15" i="9" s="1"/>
  <c r="S27" i="8"/>
  <c r="S15" i="9" s="1"/>
  <c r="S28" i="8"/>
  <c r="S16" i="9" s="1"/>
  <c r="T28" i="8"/>
  <c r="T16" i="9" s="1"/>
  <c r="U23" i="8"/>
  <c r="BH14"/>
  <c r="D22"/>
  <c r="D10" i="9" s="1"/>
  <c r="T24" i="8"/>
  <c r="T12" i="9" s="1"/>
  <c r="S24" i="8"/>
  <c r="S12" i="9" s="1"/>
  <c r="T31" i="8"/>
  <c r="T19" i="9" s="1"/>
  <c r="S31" i="8"/>
  <c r="S19" i="9" s="1"/>
  <c r="S26" i="8"/>
  <c r="S14" i="9" s="1"/>
  <c r="T26" i="8"/>
  <c r="T14" i="9" s="1"/>
  <c r="H22" i="8"/>
  <c r="H10" i="9" s="1"/>
  <c r="S30" i="8"/>
  <c r="S18" i="9" s="1"/>
  <c r="U18" s="1"/>
  <c r="T30" i="8"/>
  <c r="T18" i="9" s="1"/>
  <c r="T29" i="8"/>
  <c r="T17" i="9" s="1"/>
  <c r="S29" i="8"/>
  <c r="S17" i="9" s="1"/>
  <c r="T32" i="8"/>
  <c r="T20" i="9" s="1"/>
  <c r="S32" i="8"/>
  <c r="S20" i="9" s="1"/>
  <c r="L23" i="8"/>
  <c r="L11" i="9" s="1"/>
  <c r="H24" i="8"/>
  <c r="J23"/>
  <c r="J11" i="9" s="1"/>
  <c r="I23" i="8"/>
  <c r="I11" i="9" s="1"/>
  <c r="D24" i="8"/>
  <c r="D12" i="9" s="1"/>
  <c r="BM17" i="8"/>
  <c r="BK14"/>
  <c r="BL14"/>
  <c r="A24"/>
  <c r="O14" i="7"/>
  <c r="N13" i="6"/>
  <c r="D64" i="2"/>
  <c r="H64"/>
  <c r="P64"/>
  <c r="T64"/>
  <c r="X64"/>
  <c r="D65"/>
  <c r="D68" s="1"/>
  <c r="H65"/>
  <c r="H68" s="1"/>
  <c r="R65"/>
  <c r="V65"/>
  <c r="V68" s="1"/>
  <c r="Z65"/>
  <c r="Z68" s="1"/>
  <c r="M65"/>
  <c r="G64"/>
  <c r="K64"/>
  <c r="O64"/>
  <c r="S64"/>
  <c r="W64"/>
  <c r="C65"/>
  <c r="C68" s="1"/>
  <c r="G65"/>
  <c r="G68" s="1"/>
  <c r="K65"/>
  <c r="P65"/>
  <c r="U65"/>
  <c r="U68" s="1"/>
  <c r="Y65"/>
  <c r="Y68" s="1"/>
  <c r="F64"/>
  <c r="J64"/>
  <c r="N64"/>
  <c r="R64"/>
  <c r="V64"/>
  <c r="Z64"/>
  <c r="F65"/>
  <c r="F68" s="1"/>
  <c r="J65"/>
  <c r="O65"/>
  <c r="O68" s="1"/>
  <c r="T65"/>
  <c r="T68" s="1"/>
  <c r="X65"/>
  <c r="X68" s="1"/>
  <c r="Q69"/>
  <c r="E64"/>
  <c r="I64"/>
  <c r="M64"/>
  <c r="Q64"/>
  <c r="U64"/>
  <c r="Y64"/>
  <c r="E65"/>
  <c r="E68" s="1"/>
  <c r="I65"/>
  <c r="I68" s="1"/>
  <c r="N65"/>
  <c r="S65"/>
  <c r="S68" s="1"/>
  <c r="W65"/>
  <c r="W68" s="1"/>
  <c r="Q65"/>
  <c r="Q68" s="1"/>
  <c r="L13"/>
  <c r="L14" s="1"/>
  <c r="L15" s="1"/>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L45" s="1"/>
  <c r="L46" s="1"/>
  <c r="L47" s="1"/>
  <c r="L48" s="1"/>
  <c r="L49" s="1"/>
  <c r="L50" s="1"/>
  <c r="X35" i="8" l="1"/>
  <c r="Y35" s="1"/>
  <c r="Z35" s="1"/>
  <c r="V23" i="9"/>
  <c r="X23" s="1"/>
  <c r="Y23" s="1"/>
  <c r="Z23" s="1"/>
  <c r="U19"/>
  <c r="U20"/>
  <c r="O36" i="8"/>
  <c r="V36"/>
  <c r="BI20"/>
  <c r="BH20"/>
  <c r="BL20"/>
  <c r="BK20"/>
  <c r="H25"/>
  <c r="H13" i="9" s="1"/>
  <c r="R11"/>
  <c r="BN18" i="8"/>
  <c r="U17" i="9"/>
  <c r="U16"/>
  <c r="U14"/>
  <c r="U12"/>
  <c r="G11"/>
  <c r="R23" i="8"/>
  <c r="K11" i="9"/>
  <c r="T25"/>
  <c r="S25"/>
  <c r="Q24" i="8"/>
  <c r="Q12" i="9" s="1"/>
  <c r="H12"/>
  <c r="U15"/>
  <c r="E22" i="8"/>
  <c r="E10" i="9" s="1"/>
  <c r="K59" i="2"/>
  <c r="I59"/>
  <c r="N23" i="8"/>
  <c r="N11" i="9" s="1"/>
  <c r="G23" i="8"/>
  <c r="M23"/>
  <c r="M11" i="9" s="1"/>
  <c r="U30" i="8"/>
  <c r="U32"/>
  <c r="U31"/>
  <c r="U24"/>
  <c r="F22"/>
  <c r="F10" i="9" s="1"/>
  <c r="U29" i="8"/>
  <c r="L24"/>
  <c r="L12" i="9" s="1"/>
  <c r="H26" i="8"/>
  <c r="U27"/>
  <c r="T37"/>
  <c r="J22"/>
  <c r="J10" i="9" s="1"/>
  <c r="U26" i="8"/>
  <c r="Q22"/>
  <c r="Q10" i="9" s="1"/>
  <c r="I22" i="8"/>
  <c r="I10" i="9" s="1"/>
  <c r="S37" i="8"/>
  <c r="E24"/>
  <c r="E12" i="9" s="1"/>
  <c r="P24" i="8"/>
  <c r="P22"/>
  <c r="P10" i="9" s="1"/>
  <c r="L22" i="8"/>
  <c r="L10" i="9" s="1"/>
  <c r="U28" i="8"/>
  <c r="K23"/>
  <c r="J24"/>
  <c r="J12" i="9" s="1"/>
  <c r="I24" i="8"/>
  <c r="I12" i="9" s="1"/>
  <c r="F24" i="8"/>
  <c r="F12" i="9" s="1"/>
  <c r="B24" i="8"/>
  <c r="D25"/>
  <c r="D13" i="9" s="1"/>
  <c r="BM18" i="8"/>
  <c r="N68" i="2"/>
  <c r="N69"/>
  <c r="P68"/>
  <c r="P69"/>
  <c r="L64"/>
  <c r="K58"/>
  <c r="M70"/>
  <c r="M71"/>
  <c r="N72"/>
  <c r="M68"/>
  <c r="N71"/>
  <c r="N73"/>
  <c r="I62" s="1"/>
  <c r="L65"/>
  <c r="L68" s="1"/>
  <c r="J68"/>
  <c r="J69"/>
  <c r="R68"/>
  <c r="R69"/>
  <c r="I58"/>
  <c r="K68"/>
  <c r="X36" i="8" l="1"/>
  <c r="Y36" s="1"/>
  <c r="Z36" s="1"/>
  <c r="V24" i="9"/>
  <c r="X24" s="1"/>
  <c r="Y24" s="1"/>
  <c r="Z24" s="1"/>
  <c r="BH22" i="8"/>
  <c r="BI21"/>
  <c r="BH21"/>
  <c r="BL21"/>
  <c r="BK21"/>
  <c r="Q25"/>
  <c r="Q13" i="9" s="1"/>
  <c r="I25" i="8"/>
  <c r="I13" i="9" s="1"/>
  <c r="J25" i="8"/>
  <c r="J13" i="9" s="1"/>
  <c r="BN19" i="8"/>
  <c r="K10" i="9"/>
  <c r="O11"/>
  <c r="G12"/>
  <c r="K12"/>
  <c r="U25"/>
  <c r="G10"/>
  <c r="A25" i="8"/>
  <c r="B25" s="1"/>
  <c r="B12" i="9"/>
  <c r="R24" i="8"/>
  <c r="P12" i="9"/>
  <c r="R12" s="1"/>
  <c r="R10"/>
  <c r="Q26" i="8"/>
  <c r="Q14" i="9" s="1"/>
  <c r="H14"/>
  <c r="N22" i="8"/>
  <c r="N10" i="9" s="1"/>
  <c r="O23" i="8"/>
  <c r="V23" s="1"/>
  <c r="M22"/>
  <c r="M10" i="9" s="1"/>
  <c r="G22" i="8"/>
  <c r="K22"/>
  <c r="I26"/>
  <c r="I14" i="9" s="1"/>
  <c r="J26" i="8"/>
  <c r="J14" i="9" s="1"/>
  <c r="U37" i="8"/>
  <c r="K24"/>
  <c r="R22"/>
  <c r="P25"/>
  <c r="L25"/>
  <c r="L13" i="9" s="1"/>
  <c r="G24" i="8"/>
  <c r="N24"/>
  <c r="N12" i="9" s="1"/>
  <c r="M24" i="8"/>
  <c r="M12" i="9" s="1"/>
  <c r="E25" i="8"/>
  <c r="F25"/>
  <c r="BM19"/>
  <c r="D26"/>
  <c r="D14" i="9" s="1"/>
  <c r="K13" l="1"/>
  <c r="BI22" i="8"/>
  <c r="BL22"/>
  <c r="BK22"/>
  <c r="K25"/>
  <c r="BN20"/>
  <c r="H27"/>
  <c r="Q27" s="1"/>
  <c r="Q15" i="9" s="1"/>
  <c r="H28" i="8"/>
  <c r="H16" i="9" s="1"/>
  <c r="BN21" i="8"/>
  <c r="O12" i="9"/>
  <c r="O10"/>
  <c r="A26" i="8"/>
  <c r="B26" s="1"/>
  <c r="B13" i="9"/>
  <c r="M25" i="8"/>
  <c r="M13" i="9" s="1"/>
  <c r="E13"/>
  <c r="N25" i="8"/>
  <c r="N13" i="9" s="1"/>
  <c r="F13"/>
  <c r="X23" i="8"/>
  <c r="Y23" s="1"/>
  <c r="Z23" s="1"/>
  <c r="V11" i="9"/>
  <c r="X11" s="1"/>
  <c r="Y11" s="1"/>
  <c r="Z11" s="1"/>
  <c r="R25" i="8"/>
  <c r="P13" i="9"/>
  <c r="K14"/>
  <c r="H15"/>
  <c r="O22" i="8"/>
  <c r="V22" s="1"/>
  <c r="K26"/>
  <c r="O24"/>
  <c r="V24" s="1"/>
  <c r="P26"/>
  <c r="P14" i="9" s="1"/>
  <c r="R14" s="1"/>
  <c r="L26" i="8"/>
  <c r="L14" i="9" s="1"/>
  <c r="G25" i="8"/>
  <c r="BM20"/>
  <c r="D27"/>
  <c r="D15" i="9" s="1"/>
  <c r="F26" i="8"/>
  <c r="E26"/>
  <c r="BN22"/>
  <c r="BI23" l="1"/>
  <c r="BH23"/>
  <c r="BL23"/>
  <c r="BK23"/>
  <c r="I28"/>
  <c r="I16" i="9" s="1"/>
  <c r="J27" i="8"/>
  <c r="J15" i="9" s="1"/>
  <c r="I27" i="8"/>
  <c r="Q28"/>
  <c r="Q16" i="9" s="1"/>
  <c r="J28" i="8"/>
  <c r="J16" i="9" s="1"/>
  <c r="H29" i="8"/>
  <c r="H17" i="9" s="1"/>
  <c r="O13"/>
  <c r="V10"/>
  <c r="X10" s="1"/>
  <c r="Y10" s="1"/>
  <c r="Z10" s="1"/>
  <c r="X22" i="8"/>
  <c r="M26"/>
  <c r="M14" i="9" s="1"/>
  <c r="E14"/>
  <c r="G13"/>
  <c r="X24" i="8"/>
  <c r="Y24" s="1"/>
  <c r="Z24" s="1"/>
  <c r="V12" i="9"/>
  <c r="X12" s="1"/>
  <c r="Y12" s="1"/>
  <c r="Z12" s="1"/>
  <c r="A27" i="8"/>
  <c r="B27" s="1"/>
  <c r="B14" i="9"/>
  <c r="N26" i="8"/>
  <c r="N14" i="9" s="1"/>
  <c r="F14"/>
  <c r="R13"/>
  <c r="P27" i="8"/>
  <c r="L27"/>
  <c r="L15" i="9" s="1"/>
  <c r="R26" i="8"/>
  <c r="H30"/>
  <c r="H18" i="9" s="1"/>
  <c r="O25" i="8"/>
  <c r="G26"/>
  <c r="O26" s="1"/>
  <c r="F27"/>
  <c r="E27"/>
  <c r="BM21"/>
  <c r="D28"/>
  <c r="D16" i="9" s="1"/>
  <c r="BN23" i="8"/>
  <c r="BH24" l="1"/>
  <c r="BI24"/>
  <c r="BL24"/>
  <c r="BK24"/>
  <c r="K16" i="9"/>
  <c r="K28" i="8"/>
  <c r="I29"/>
  <c r="I17" i="9" s="1"/>
  <c r="I15"/>
  <c r="K15" s="1"/>
  <c r="K27" i="8"/>
  <c r="Q29"/>
  <c r="Q17" i="9" s="1"/>
  <c r="J29" i="8"/>
  <c r="J17" i="9" s="1"/>
  <c r="K17" s="1"/>
  <c r="O14"/>
  <c r="G14"/>
  <c r="A28" i="8"/>
  <c r="B28" s="1"/>
  <c r="B15" i="9"/>
  <c r="M27" i="8"/>
  <c r="M15" i="9" s="1"/>
  <c r="E15"/>
  <c r="R27" i="8"/>
  <c r="P15" i="9"/>
  <c r="N27" i="8"/>
  <c r="N15" i="9" s="1"/>
  <c r="F15"/>
  <c r="I30" i="8"/>
  <c r="I18" i="9" s="1"/>
  <c r="K18" s="1"/>
  <c r="J30" i="8"/>
  <c r="J18" i="9" s="1"/>
  <c r="P28" i="8"/>
  <c r="P16" i="9" s="1"/>
  <c r="R16" s="1"/>
  <c r="L28" i="8"/>
  <c r="L16" i="9" s="1"/>
  <c r="V26" i="8"/>
  <c r="H31"/>
  <c r="H19" i="9" s="1"/>
  <c r="Q30" i="8"/>
  <c r="Q18" i="9" s="1"/>
  <c r="Y22" i="8"/>
  <c r="V25"/>
  <c r="V13" i="9" s="1"/>
  <c r="X13" s="1"/>
  <c r="Y13" s="1"/>
  <c r="Z13" s="1"/>
  <c r="G27" i="8"/>
  <c r="BM22"/>
  <c r="D29"/>
  <c r="D17" i="9" s="1"/>
  <c r="F28" i="8"/>
  <c r="F16" i="9" s="1"/>
  <c r="E28" i="8"/>
  <c r="BN24"/>
  <c r="H33" l="1"/>
  <c r="H21" i="9" s="1"/>
  <c r="BL25" i="8"/>
  <c r="BK25"/>
  <c r="BN25"/>
  <c r="D33"/>
  <c r="D21" i="9" s="1"/>
  <c r="BI25" i="8"/>
  <c r="BH25"/>
  <c r="BM25"/>
  <c r="L33"/>
  <c r="L21" i="9" s="1"/>
  <c r="I33" i="8"/>
  <c r="I21" i="9" s="1"/>
  <c r="O27" i="8"/>
  <c r="V27" s="1"/>
  <c r="K29"/>
  <c r="O15" i="9"/>
  <c r="A29" i="8"/>
  <c r="B29" s="1"/>
  <c r="B16" i="9"/>
  <c r="G15"/>
  <c r="X26" i="8"/>
  <c r="Y26" s="1"/>
  <c r="Z26" s="1"/>
  <c r="V14" i="9"/>
  <c r="X14" s="1"/>
  <c r="Y14" s="1"/>
  <c r="Z14" s="1"/>
  <c r="M28" i="8"/>
  <c r="M16" i="9" s="1"/>
  <c r="E16"/>
  <c r="G16" s="1"/>
  <c r="R15"/>
  <c r="K30" i="8"/>
  <c r="Q31"/>
  <c r="Q19" i="9" s="1"/>
  <c r="I31" i="8"/>
  <c r="I19" i="9" s="1"/>
  <c r="H32" i="8"/>
  <c r="H20" i="9" s="1"/>
  <c r="X25" i="8"/>
  <c r="P29"/>
  <c r="L29"/>
  <c r="L17" i="9" s="1"/>
  <c r="Z22" i="8"/>
  <c r="R28"/>
  <c r="G28"/>
  <c r="O28" s="1"/>
  <c r="N28"/>
  <c r="N16" i="9" s="1"/>
  <c r="BM23" i="8"/>
  <c r="J31"/>
  <c r="J19" i="9" s="1"/>
  <c r="D30" i="8"/>
  <c r="D18" i="9" s="1"/>
  <c r="E29" i="8"/>
  <c r="F29"/>
  <c r="K19" i="9" l="1"/>
  <c r="J33" i="8"/>
  <c r="J21" i="9" s="1"/>
  <c r="K21" s="1"/>
  <c r="F33" i="8"/>
  <c r="F21" i="9" s="1"/>
  <c r="E33" i="8"/>
  <c r="E21" i="9" s="1"/>
  <c r="N33" i="8"/>
  <c r="N21" i="9" s="1"/>
  <c r="H34" i="8"/>
  <c r="H22" i="9" s="1"/>
  <c r="BN26" i="8"/>
  <c r="BL26"/>
  <c r="BK26"/>
  <c r="BI26"/>
  <c r="BM26"/>
  <c r="BH26"/>
  <c r="D34"/>
  <c r="D22" i="9" s="1"/>
  <c r="G33" i="8"/>
  <c r="J34"/>
  <c r="J22" i="9" s="1"/>
  <c r="I32" i="8"/>
  <c r="I20" i="9" s="1"/>
  <c r="Q33" i="8"/>
  <c r="Q21" i="9" s="1"/>
  <c r="O16"/>
  <c r="N29" i="8"/>
  <c r="N17" i="9" s="1"/>
  <c r="F17"/>
  <c r="R29" i="8"/>
  <c r="P17" i="9"/>
  <c r="X27" i="8"/>
  <c r="Y27" s="1"/>
  <c r="Z27" s="1"/>
  <c r="V15" i="9"/>
  <c r="X15" s="1"/>
  <c r="Y15" s="1"/>
  <c r="Z15" s="1"/>
  <c r="M29" i="8"/>
  <c r="M17" i="9" s="1"/>
  <c r="E17"/>
  <c r="A30" i="8"/>
  <c r="B30" s="1"/>
  <c r="B18" i="9" s="1"/>
  <c r="B17"/>
  <c r="D31" i="8"/>
  <c r="D19" i="9" s="1"/>
  <c r="BM24" i="8"/>
  <c r="Q32"/>
  <c r="Q20" i="9" s="1"/>
  <c r="J32" i="8"/>
  <c r="J20" i="9" s="1"/>
  <c r="K31" i="8"/>
  <c r="P30"/>
  <c r="P18" i="9" s="1"/>
  <c r="R18" s="1"/>
  <c r="L30" i="8"/>
  <c r="L18" i="9" s="1"/>
  <c r="Y25" i="8"/>
  <c r="V28"/>
  <c r="V16" i="9" s="1"/>
  <c r="X16" s="1"/>
  <c r="Y16" s="1"/>
  <c r="G29" i="8"/>
  <c r="O29" s="1"/>
  <c r="F30"/>
  <c r="F18" i="9" s="1"/>
  <c r="E30" i="8"/>
  <c r="E18" i="9" s="1"/>
  <c r="K33" i="8" l="1"/>
  <c r="O33" s="1"/>
  <c r="V33" s="1"/>
  <c r="M33"/>
  <c r="M21" i="9" s="1"/>
  <c r="O21" s="1"/>
  <c r="G18"/>
  <c r="G21"/>
  <c r="K20"/>
  <c r="I34" i="8"/>
  <c r="E34"/>
  <c r="E22" i="9" s="1"/>
  <c r="L34" i="8"/>
  <c r="L22" i="9" s="1"/>
  <c r="F34" i="8"/>
  <c r="Z16" i="9"/>
  <c r="Q34" i="8"/>
  <c r="Q22" i="9" s="1"/>
  <c r="O17"/>
  <c r="H25"/>
  <c r="A31" i="8"/>
  <c r="B31" s="1"/>
  <c r="K32"/>
  <c r="M30"/>
  <c r="M18" i="9" s="1"/>
  <c r="P31" i="8"/>
  <c r="P19" i="9" s="1"/>
  <c r="R19" s="1"/>
  <c r="G17"/>
  <c r="N30" i="8"/>
  <c r="N18" i="9" s="1"/>
  <c r="R30" i="8"/>
  <c r="R17" i="9"/>
  <c r="D32" i="8"/>
  <c r="D20" i="9" s="1"/>
  <c r="L31" i="8"/>
  <c r="L19" i="9" s="1"/>
  <c r="E31" i="8"/>
  <c r="E19" i="9" s="1"/>
  <c r="F31" i="8"/>
  <c r="F19" i="9" s="1"/>
  <c r="X28" i="8"/>
  <c r="Z25"/>
  <c r="H37"/>
  <c r="V29"/>
  <c r="G30"/>
  <c r="O30" s="1"/>
  <c r="G19" i="9" l="1"/>
  <c r="O18"/>
  <c r="A32" i="8"/>
  <c r="B19" i="9"/>
  <c r="N34" i="8"/>
  <c r="N22" i="9" s="1"/>
  <c r="F22"/>
  <c r="G22" s="1"/>
  <c r="K34" i="8"/>
  <c r="I22" i="9"/>
  <c r="K22" s="1"/>
  <c r="G34" i="8"/>
  <c r="X33"/>
  <c r="V21" i="9"/>
  <c r="X21" s="1"/>
  <c r="M34" i="8"/>
  <c r="M22" i="9" s="1"/>
  <c r="O22" s="1"/>
  <c r="P33" i="8"/>
  <c r="G31"/>
  <c r="O31" s="1"/>
  <c r="V31" s="1"/>
  <c r="V19" i="9" s="1"/>
  <c r="X19" s="1"/>
  <c r="Y19" s="1"/>
  <c r="X29" i="8"/>
  <c r="Y29" s="1"/>
  <c r="Z29" s="1"/>
  <c r="V17" i="9"/>
  <c r="X17" s="1"/>
  <c r="Y17" s="1"/>
  <c r="Z17" s="1"/>
  <c r="J37" i="8"/>
  <c r="J25" i="9"/>
  <c r="P32" i="8"/>
  <c r="P20" i="9" s="1"/>
  <c r="R20" s="1"/>
  <c r="M31" i="8"/>
  <c r="M19" i="9" s="1"/>
  <c r="O19" s="1"/>
  <c r="N31" i="8"/>
  <c r="N19" i="9" s="1"/>
  <c r="Q37" i="8"/>
  <c r="Q25" i="9"/>
  <c r="I37" i="8"/>
  <c r="R31"/>
  <c r="L32"/>
  <c r="L20" i="9" s="1"/>
  <c r="F32" i="8"/>
  <c r="F20" i="9" s="1"/>
  <c r="E32" i="8"/>
  <c r="E20" i="9" s="1"/>
  <c r="K37" i="8"/>
  <c r="E42" s="1"/>
  <c r="V30"/>
  <c r="V18" i="9" s="1"/>
  <c r="X18" s="1"/>
  <c r="Y18" s="1"/>
  <c r="Z18" s="1"/>
  <c r="D37" i="8"/>
  <c r="Y28"/>
  <c r="B32"/>
  <c r="G20" i="9" l="1"/>
  <c r="Z19"/>
  <c r="A33" i="8"/>
  <c r="B33" s="1"/>
  <c r="B20" i="9"/>
  <c r="R33" i="8"/>
  <c r="Y33" s="1"/>
  <c r="Z33" s="1"/>
  <c r="P21" i="9"/>
  <c r="R21" s="1"/>
  <c r="Y21" s="1"/>
  <c r="Z21" s="1"/>
  <c r="O34" i="8"/>
  <c r="V34" s="1"/>
  <c r="P34"/>
  <c r="I25" i="9"/>
  <c r="K25"/>
  <c r="E30" s="1"/>
  <c r="D25"/>
  <c r="X31" i="8"/>
  <c r="Y31" s="1"/>
  <c r="Z31" s="1"/>
  <c r="L37"/>
  <c r="X30"/>
  <c r="Y30" s="1"/>
  <c r="Z30" s="1"/>
  <c r="N32"/>
  <c r="N20" i="9" s="1"/>
  <c r="F25"/>
  <c r="R32" i="8"/>
  <c r="M32"/>
  <c r="M20" i="9" s="1"/>
  <c r="O20" s="1"/>
  <c r="G32" i="8"/>
  <c r="O32" s="1"/>
  <c r="V32" s="1"/>
  <c r="V20" i="9" s="1"/>
  <c r="X20" s="1"/>
  <c r="Y20" s="1"/>
  <c r="F37" i="8"/>
  <c r="E37"/>
  <c r="Z28"/>
  <c r="Z20" i="9" l="1"/>
  <c r="R34" i="8"/>
  <c r="P22" i="9"/>
  <c r="R22" s="1"/>
  <c r="R25" s="1"/>
  <c r="A34" i="8"/>
  <c r="B34" s="1"/>
  <c r="B21" i="9"/>
  <c r="X34" i="8"/>
  <c r="V22" i="9"/>
  <c r="X22" s="1"/>
  <c r="P37" i="8"/>
  <c r="M25" i="9"/>
  <c r="M37" i="8"/>
  <c r="G25" i="9"/>
  <c r="C30" s="1"/>
  <c r="L25"/>
  <c r="N37" i="8"/>
  <c r="N25" i="9"/>
  <c r="E25"/>
  <c r="X32" i="8"/>
  <c r="Y32" s="1"/>
  <c r="Z32" s="1"/>
  <c r="G37"/>
  <c r="C42" s="1"/>
  <c r="R37"/>
  <c r="Y34" l="1"/>
  <c r="Z34" s="1"/>
  <c r="Y22" i="9"/>
  <c r="Z22" s="1"/>
  <c r="A35" i="8"/>
  <c r="B35" s="1"/>
  <c r="B22" i="9"/>
  <c r="P25"/>
  <c r="O25"/>
  <c r="G30" s="1"/>
  <c r="O37" i="8"/>
  <c r="G42" s="1"/>
  <c r="A36" l="1"/>
  <c r="B36" s="1"/>
  <c r="B24" i="9" s="1"/>
  <c r="B23"/>
  <c r="Z25"/>
  <c r="K30" s="1"/>
  <c r="V37" i="8"/>
  <c r="X37" l="1"/>
  <c r="Y37" l="1"/>
  <c r="I42" s="1"/>
  <c r="Z37"/>
  <c r="M39" l="1"/>
  <c r="K42"/>
  <c r="V25" i="9"/>
  <c r="X25"/>
  <c r="Y25"/>
  <c r="I30" s="1"/>
</calcChain>
</file>

<file path=xl/sharedStrings.xml><?xml version="1.0" encoding="utf-8"?>
<sst xmlns="http://schemas.openxmlformats.org/spreadsheetml/2006/main" count="382" uniqueCount="218">
  <si>
    <t xml:space="preserve">कार्मिक का नाम :- </t>
  </si>
  <si>
    <t>कार्मिक की प्रथम नियुक्ति तिथि :-</t>
  </si>
  <si>
    <t xml:space="preserve">कार्मिक की प्रथम ए.सी.पी. तिथि :- </t>
  </si>
  <si>
    <t xml:space="preserve">कार्मिक की द्वितीय ए.सी.पी. तिथि :- </t>
  </si>
  <si>
    <t xml:space="preserve">कार्मिक की तृतीय ए.सी.पी. तिथि :- </t>
  </si>
  <si>
    <t xml:space="preserve">प्रमोशन के बाद पद  :- </t>
  </si>
  <si>
    <t xml:space="preserve">प्रमोशन के बाद पद लेवल :- </t>
  </si>
  <si>
    <t xml:space="preserve">पद लेवल :- </t>
  </si>
  <si>
    <t xml:space="preserve">कार्मिक विवरण </t>
  </si>
  <si>
    <t>कार्मिक का वर्तमान पद : -</t>
  </si>
  <si>
    <t xml:space="preserve">प्रथम नियुक्ति पद :- </t>
  </si>
  <si>
    <t xml:space="preserve">प्रथम ए.सी.पी. के समय पद :- </t>
  </si>
  <si>
    <t xml:space="preserve">द्वितीय ए.सी.पी. के समय पद :- </t>
  </si>
  <si>
    <t xml:space="preserve">तृतीय ए.सी.पी. के समय पद :- </t>
  </si>
  <si>
    <t>ACP</t>
  </si>
  <si>
    <t>MACP</t>
  </si>
  <si>
    <t xml:space="preserve">YES </t>
  </si>
  <si>
    <t xml:space="preserve">आपका प्रमोशन हुआ है , तो हाँ / ना सलेक्ट करें :- </t>
  </si>
  <si>
    <t>DD</t>
  </si>
  <si>
    <t>MM</t>
  </si>
  <si>
    <t>YYYY</t>
  </si>
  <si>
    <t>NO</t>
  </si>
  <si>
    <t>ý</t>
  </si>
  <si>
    <t>HEERALAL JAT</t>
  </si>
  <si>
    <t>Sr. Teacher</t>
  </si>
  <si>
    <t>Teacher</t>
  </si>
  <si>
    <t xml:space="preserve">नेक्स्ट प्रमोशन के बाद पद  :- </t>
  </si>
  <si>
    <r>
      <t xml:space="preserve">क्या कार्मिक </t>
    </r>
    <r>
      <rPr>
        <b/>
        <sz val="13"/>
        <color rgb="FFFF0000"/>
        <rFont val="Calibri"/>
        <family val="2"/>
        <scheme val="minor"/>
      </rPr>
      <t>01-04-2023</t>
    </r>
    <r>
      <rPr>
        <b/>
        <sz val="11"/>
        <color theme="1"/>
        <rFont val="Calibri"/>
        <family val="2"/>
        <scheme val="minor"/>
      </rPr>
      <t xml:space="preserve"> को राजकीय सेवा में था , YES/NO सलेक्ट करें :- </t>
    </r>
  </si>
  <si>
    <t>tr</t>
  </si>
  <si>
    <t>Cell No.</t>
  </si>
  <si>
    <t>Pay Metrix of State Government Servents wef 01-10-2017</t>
  </si>
  <si>
    <t>Existing Pay Band</t>
  </si>
  <si>
    <t>Existing Grade Pay</t>
  </si>
  <si>
    <t>Existing Grade Pay No.</t>
  </si>
  <si>
    <t>9A</t>
  </si>
  <si>
    <t>9B</t>
  </si>
  <si>
    <t>10B</t>
  </si>
  <si>
    <t>23A</t>
  </si>
  <si>
    <t>Level</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</si>
  <si>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</si>
  <si>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</si>
  <si>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</si>
  <si>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</si>
  <si>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</si>
  <si>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</si>
  <si>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</si>
  <si>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</si>
  <si>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</si>
  <si>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</si>
  <si>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</si>
  <si>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</si>
  <si>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</si>
  <si>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</si>
  <si>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</si>
  <si>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</si>
  <si>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</si>
  <si>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</si>
  <si>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</si>
  <si>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</si>
  <si>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</si>
  <si>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</si>
  <si>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</si>
  <si>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</si>
  <si>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PB-1 (5200-20200)</t>
  </si>
  <si>
    <t>PB-2 (9300-34800)</t>
  </si>
  <si>
    <t>PB-3 (15600-39100)</t>
  </si>
  <si>
    <t>PB-4 (37400-67000)</t>
  </si>
  <si>
    <t>Pay Metrix Chart</t>
  </si>
  <si>
    <t xml:space="preserve">कार्यालय का नाम (हिन्दी में)  :-  </t>
  </si>
  <si>
    <t xml:space="preserve">कार्यालय का नाम (अंग्रेजी में)  :-  </t>
  </si>
  <si>
    <t>महात्मा गाँधी राजकीय विद्यालय (अंग्रेजी माध्यम) बर, (ब्यावर)</t>
  </si>
  <si>
    <t>Mahatma Gandhi Government School (English Medium) Bar, (Beawar)</t>
  </si>
  <si>
    <t>एमएसीपी/एसीपी की स्वीकृति के पूर्व का वेतन :-</t>
  </si>
  <si>
    <t>एमएसीपी/एसीपी स्वीकृत होने के बाद वेतन :-</t>
  </si>
  <si>
    <t>कार्मिक डाटा एन्ट्री</t>
  </si>
  <si>
    <t xml:space="preserve">कार्यालय आदेश </t>
  </si>
  <si>
    <t xml:space="preserve">के आदेश क्रमांक - </t>
  </si>
  <si>
    <t>दिनांक  -</t>
  </si>
  <si>
    <t xml:space="preserve">क्र. स. </t>
  </si>
  <si>
    <t xml:space="preserve">नाम कार्मिक </t>
  </si>
  <si>
    <t>पद</t>
  </si>
  <si>
    <t xml:space="preserve">प्रथम नियुक्ति तिथि </t>
  </si>
  <si>
    <t xml:space="preserve">एमएसीपी स्वीकृत होने से पूर्व का वेतन </t>
  </si>
  <si>
    <t xml:space="preserve">बेसिक पे </t>
  </si>
  <si>
    <t xml:space="preserve">राजस्थान सरकार वित्त विभाग के नोटिफिकेशन संख्या एफ 15(1) एफडी / रूल्स / 2014 पीटी. दिनांक 06.10.2023 के द्वारा राजस्थान सिविल सेवा (पुनरीक्षित वेतनमान) नियम 2017 के </t>
  </si>
  <si>
    <t>नियम 14 के द्वारा तथा श्रीमान जिला शिक्षा अधिकारी,</t>
  </si>
  <si>
    <t>9/18/27</t>
  </si>
  <si>
    <t>करके इनका वेतन निम्नानुसार निर्धारित कर भुगतान आहरण करने की स्वीकृति प्रदान की जाती है I</t>
  </si>
  <si>
    <t>पे लेवल</t>
  </si>
  <si>
    <t xml:space="preserve">आगामी वेतन वृद्धि दिनांक </t>
  </si>
  <si>
    <t xml:space="preserve">आगामी वेतन वृद्धि के बाद वेतन  </t>
  </si>
  <si>
    <t>के अनुसार निम्नांकित कार्मिक/कार्मिकों के</t>
  </si>
  <si>
    <t xml:space="preserve">नोट :- </t>
  </si>
  <si>
    <t>दिनांक 01-04-2023 से एमएसीपी का नकद लाभ देय होगा तथा जिन कार्मिकों के 01-04-2023 के बाद एमएसीपी स्वीकृत हुई है , उनके स्वीकृत दिनांक से आर्थिक लाभ देय होगा I</t>
  </si>
  <si>
    <t>प्रधानाचार्य</t>
  </si>
  <si>
    <t>क्रमांक :</t>
  </si>
  <si>
    <t>प्रतिलिपि : सूचनार्थ एवं आवश्यक कार्यवाही हेतु -</t>
  </si>
  <si>
    <t xml:space="preserve">लेखा शाखा/ बिल शाखा/आदेश पत्रावली। </t>
  </si>
  <si>
    <t>दिनांक :-</t>
  </si>
  <si>
    <t xml:space="preserve">श्रीमान उपकोषाधिकारी, उपकोष </t>
  </si>
  <si>
    <t>निजी पत्रावली कार्मिक श्री / श्रीमती / कु. :-</t>
  </si>
  <si>
    <t>कार्मिक श्री / श्रीमती / कुमारी : -</t>
  </si>
  <si>
    <t>FORM OF OPTION FOR MACP ( MACP 2023 See Rules 14(6))</t>
  </si>
  <si>
    <t>W.e.f. 1.4.2023.</t>
  </si>
  <si>
    <t>Name :</t>
  </si>
  <si>
    <t>Designation :</t>
  </si>
  <si>
    <t>“UNDERTAKING”</t>
  </si>
  <si>
    <t>I hereby undertakes that in the event of my pay having been fixed in a manner contrary to the</t>
  </si>
  <si>
    <t>Received the above declaration</t>
  </si>
  <si>
    <t>(Head of the Office)</t>
  </si>
  <si>
    <t>I ,</t>
  </si>
  <si>
    <t>hereby elect the scheme of Medified Assured</t>
  </si>
  <si>
    <t>Career Progression (MACP) as per FD notification No. F.15(1)FD/Rules/2017 Pt. date: 06.10.2023</t>
  </si>
  <si>
    <t>hereby elect to continues Assurd Caree Progression</t>
  </si>
  <si>
    <t>as per FD notification No.15(1)FD/Rules/2017Date 30.12.2017 and 09.12.2017, till the promotion</t>
  </si>
  <si>
    <t xml:space="preserve"> or next financial upgradation.</t>
  </si>
  <si>
    <t>Signature :</t>
  </si>
  <si>
    <t>Office in which employed :</t>
  </si>
  <si>
    <t xml:space="preserve"> by me to the Governmet either by adjustment against future payments dues to me or otherwise.</t>
  </si>
  <si>
    <t>provisions contained in the Rules, as detected subsequently, any excess payment so made shall be  refunded</t>
  </si>
  <si>
    <t>Date/Place :</t>
  </si>
  <si>
    <t>Date :</t>
  </si>
  <si>
    <t>Place Signature :</t>
  </si>
  <si>
    <t>---------------------------------------------------------------------------------------------------------------------------- ------</t>
  </si>
  <si>
    <t>YES</t>
  </si>
  <si>
    <t>-------------------------</t>
  </si>
  <si>
    <t xml:space="preserve">नोट :-  यह पे मेट्रिक्स टेबल आपकी सुविधा के लिए तैयार की गयी है I वैसे तैयार करते समय सावधानी बरती गयी है , फिर भी एफ.डी. (वित्त विभाग) द्वारा जारी पे मेट्रिक्स टेबल से मिलान जरुर कर लेवें I </t>
  </si>
  <si>
    <t>एमएसीपी :-</t>
  </si>
  <si>
    <t>कार्मिक की एमएसीपी/एसीपी स्वीकृति  तिथि :-</t>
  </si>
  <si>
    <t>( यहाँ YES सलेक्ट करने पर एमएसीपी का आप्शन फॉर्म स्वतः फिल हो जायेगा I )</t>
  </si>
  <si>
    <t xml:space="preserve"> एसीपी स्वीकृत की गई थी, उक्त एसीपी को संशोधित कर उसके स्थान पर एमएसीपी  निर्धारित पे लेवल में  01.04.2023 को निम्नांकित कर्मचारियों से प्राप्त विकल्प पत्र के आधार पर निम्न तालिका के </t>
  </si>
  <si>
    <t xml:space="preserve"> वर्ष की निरन्तर सेवा उनके कॉलम के सामने अंकित दिनांक को पूर्ण करने पर इनके एमएसीपी प्रदान किये जाने के फलस्वरुप इनके पूर्व में जो</t>
  </si>
  <si>
    <t>अनुसार पे - मेट्रिक्स के पे लेवल को स्वीकृत करके इनका संशोधित वेतन निम्नानुसार निर्धारित कर भुगतान आहरण करने की स्वीकृति प्रदान की जाती है I</t>
  </si>
  <si>
    <t>स्वीकृत एसीपी/ एमएसीपी
(9/18/27)</t>
  </si>
  <si>
    <t>एसीपी दिनांक</t>
  </si>
  <si>
    <t>कार्मिक के पूर्व में स्वीकृति एसीपी  तिथि :-</t>
  </si>
  <si>
    <r>
      <t xml:space="preserve">क्या कार्मिक </t>
    </r>
    <r>
      <rPr>
        <b/>
        <sz val="12"/>
        <color rgb="FF0000CC"/>
        <rFont val="Calibri"/>
        <family val="2"/>
        <scheme val="minor"/>
      </rPr>
      <t>01-04-2023</t>
    </r>
    <r>
      <rPr>
        <b/>
        <sz val="11"/>
        <color theme="1"/>
        <rFont val="Calibri"/>
        <family val="2"/>
        <scheme val="minor"/>
      </rPr>
      <t xml:space="preserve"> के पूर्व में स्वीकृत एसीपी का एमएसीपी के अंतर्गत लाभ लेना चाहता हैं , YES/NO सलेक्ट करें :- </t>
    </r>
  </si>
  <si>
    <t>एसीपी :-</t>
  </si>
  <si>
    <t>एसीपी के स्थान पर एमएसीपी स्वीकृत होने के बाद वेतन :-</t>
  </si>
  <si>
    <t>For Revised MACP</t>
  </si>
  <si>
    <t>उक्त कॉलम की एंट्री एसीपी की जगह एमएसीपी में वेतन रिवाइज्ड करवाना हो 
तो करें I</t>
  </si>
  <si>
    <t>एसीपी की स्वीकृति के समय वेतन :-</t>
  </si>
  <si>
    <r>
      <t xml:space="preserve">    (</t>
    </r>
    <r>
      <rPr>
        <b/>
        <sz val="11"/>
        <color rgb="FFCC00CC"/>
        <rFont val="Calibri"/>
        <family val="2"/>
        <scheme val="minor"/>
      </rPr>
      <t xml:space="preserve">01-04-2023 </t>
    </r>
    <r>
      <rPr>
        <b/>
        <sz val="10"/>
        <color rgb="FFCC00CC"/>
        <rFont val="Calibri"/>
        <family val="2"/>
        <scheme val="minor"/>
      </rPr>
      <t xml:space="preserve">से पूर्व यदि स्वीकृत हो तो)     </t>
    </r>
  </si>
  <si>
    <t>एसीपी के स्थान पर रिवाइज्ड एमएसीपी स्वीकृति तिथि :-</t>
  </si>
  <si>
    <t xml:space="preserve">एमएसीपी (MACP) स्वीकृत दिनांक </t>
  </si>
  <si>
    <t xml:space="preserve">01-04-2023 के  पूर्व स्वीकृत एसीपी (ACP) का विवरण (पूर्व का वेतन) </t>
  </si>
  <si>
    <t xml:space="preserve">एमएसीपी (MACP) स्वीकृत होने पर वेतन निर्धारण </t>
  </si>
  <si>
    <t xml:space="preserve">डीडीओ (कार्यालयाध्यक्ष) का नाम :- </t>
  </si>
  <si>
    <t>डीडीओ का पद : -</t>
  </si>
  <si>
    <t xml:space="preserve">डीडीओ कोड :- </t>
  </si>
  <si>
    <t>USHA PALIYA</t>
  </si>
  <si>
    <t xml:space="preserve"> वर्ष की निरन्तर सेवा उनके कॉलम के सामने अंकित दिनांक को पूर्ण करने पर इनके एमएसीपी के अनुसार पे - मेट्रिक्स की पे लेवल को स्वीकृत </t>
  </si>
  <si>
    <t>TOTAL DEDUCTION</t>
  </si>
  <si>
    <t>NET PAYABLE</t>
  </si>
  <si>
    <t>BASIC</t>
  </si>
  <si>
    <t>DA</t>
  </si>
  <si>
    <t>HRA</t>
  </si>
  <si>
    <t>TOTAL</t>
  </si>
  <si>
    <t>RGHS</t>
  </si>
  <si>
    <t>INCOME TAX</t>
  </si>
  <si>
    <t>Post :-</t>
  </si>
  <si>
    <t>Employee Name :-</t>
  </si>
  <si>
    <t>Posting Place :-</t>
  </si>
  <si>
    <t>to</t>
  </si>
  <si>
    <t>MACP Arrear From</t>
  </si>
  <si>
    <t xml:space="preserve"> Difference Arrear Sheet</t>
  </si>
  <si>
    <t>Sr. No.</t>
  </si>
  <si>
    <t xml:space="preserve">एमएसीपी (MACP) की डीफरेंस एरियर शीट्स तैयार करने के लिए माह सलेक्ट करें </t>
  </si>
  <si>
    <t>जिस माह से एरियर बनाना है, वह माह सलेक्ट करें :-</t>
  </si>
  <si>
    <t>जिस माह तक एरियर बनाना है, वह माह सलेक्ट करें :-</t>
  </si>
  <si>
    <r>
      <t xml:space="preserve">जिस माह से एरियर बनाना है, उस माह की </t>
    </r>
    <r>
      <rPr>
        <b/>
        <sz val="11"/>
        <color rgb="FFC00000"/>
        <rFont val="Calibri"/>
        <family val="2"/>
        <scheme val="minor"/>
      </rPr>
      <t>दिनांक</t>
    </r>
    <r>
      <rPr>
        <b/>
        <sz val="11"/>
        <color rgb="FFFF0000"/>
        <rFont val="Calibri"/>
        <family val="2"/>
        <scheme val="minor"/>
      </rPr>
      <t xml:space="preserve"> लिखें  :-</t>
    </r>
  </si>
  <si>
    <r>
      <t>मकान किराया (</t>
    </r>
    <r>
      <rPr>
        <b/>
        <sz val="14"/>
        <color theme="5" tint="-0.499984740745262"/>
        <rFont val="Calibri"/>
        <family val="2"/>
        <scheme val="minor"/>
      </rPr>
      <t>HRA</t>
    </r>
    <r>
      <rPr>
        <b/>
        <sz val="11"/>
        <color theme="5" tint="-0.499984740745262"/>
        <rFont val="Calibri"/>
        <family val="2"/>
        <scheme val="minor"/>
      </rPr>
      <t>) की दर सलेक्ट करें :-</t>
    </r>
  </si>
  <si>
    <t>GPF/GPF-2004</t>
  </si>
  <si>
    <t>इन्कम टैक्स दर :-</t>
  </si>
  <si>
    <t>Amount in Words :-</t>
  </si>
  <si>
    <t>Drawing &amp; Despersal Officer</t>
  </si>
  <si>
    <t>S.R.</t>
  </si>
  <si>
    <t>For Copying And Necessary Action -</t>
  </si>
  <si>
    <t>Treasury Officer / Deputy treasury  Officer</t>
  </si>
  <si>
    <t>Related Employee Sh./Smt./Mis.</t>
  </si>
  <si>
    <t>File Register</t>
  </si>
  <si>
    <t>Total Pay Due</t>
  </si>
  <si>
    <t>Total Pay Drawn</t>
  </si>
  <si>
    <t>Total Difference</t>
  </si>
  <si>
    <t>Total Net Pay</t>
  </si>
  <si>
    <t>Pay Due</t>
  </si>
  <si>
    <t>Pay Drawn</t>
  </si>
  <si>
    <t>Pay Difference</t>
  </si>
  <si>
    <t>Month</t>
  </si>
  <si>
    <t>Drawn</t>
  </si>
  <si>
    <t>Due</t>
  </si>
  <si>
    <t>Diff.</t>
  </si>
  <si>
    <t>Deductions</t>
  </si>
  <si>
    <t>Total Deduction</t>
  </si>
  <si>
    <t xml:space="preserve">नोट :- आपके कम्प्यूटर का डेट फॉरमेट DD/MM/YYYY होना चाहिए </t>
  </si>
  <si>
    <t>(दोनों कॉलम के माह एक होने चाहिए)</t>
  </si>
  <si>
    <t>Programmer  &amp;   Presented By</t>
  </si>
  <si>
    <t>HEERA LAL JAT</t>
  </si>
  <si>
    <t>V./P. -  CHANDAWAL NAGAR , SOJAT (PALI)</t>
  </si>
  <si>
    <t>heeralaljatchandawal@gmail.com</t>
  </si>
  <si>
    <t>नोट :-  वैसे एम.ए.सी.पी. प्रोग्राम तैयार करने में पूरी सावधानी बरती गयी है , फिर भी आप एतिहात के तौर पर जरुर चैक करे I किसी भी त्रुटि के लिए निर्माणकर्ता जिम्मेदार नहीं होगा I</t>
  </si>
  <si>
    <t>Sr. Teacher at MGGS BAR (BEAWAR)</t>
  </si>
  <si>
    <t>PASSWORD</t>
  </si>
  <si>
    <t>MACP/2023</t>
  </si>
  <si>
    <t xml:space="preserve">यू ट्यूब विडियो का लिंक </t>
  </si>
  <si>
    <t>https://youtu.be/CTO9jlCJH9U</t>
  </si>
  <si>
    <t>( Rs.   /-  Only  )</t>
  </si>
  <si>
    <t>Bill Date &amp; 
T.V. No.</t>
  </si>
  <si>
    <t>11 /
2-4-2023</t>
  </si>
  <si>
    <t>12 /
2-4-2023</t>
  </si>
  <si>
    <t>13 /
2-4-2023</t>
  </si>
  <si>
    <t>14 /
2-4-2023</t>
  </si>
  <si>
    <t>15 /
2-4-2023</t>
  </si>
  <si>
    <t>16 /
2-4-2023</t>
  </si>
  <si>
    <t>17 /
2-4-2023</t>
  </si>
  <si>
    <t>18 /
2-4-2023</t>
  </si>
  <si>
    <t xml:space="preserve">SHEET UPDATE ON </t>
  </si>
  <si>
    <t>19 /
2-4-2023</t>
  </si>
</sst>
</file>

<file path=xl/styles.xml><?xml version="1.0" encoding="utf-8"?>
<styleSheet xmlns="http://schemas.openxmlformats.org/spreadsheetml/2006/main">
  <numFmts count="6">
    <numFmt numFmtId="164" formatCode="\L\ \-\ 0"/>
    <numFmt numFmtId="165" formatCode="00"/>
    <numFmt numFmtId="166" formatCode="0000"/>
    <numFmt numFmtId="167" formatCode="dd/mm/yyyy"/>
    <numFmt numFmtId="168" formatCode="mmm/yyyy"/>
    <numFmt numFmtId="169" formatCode="[$-409]mmmm/yy;@"/>
  </numFmts>
  <fonts count="83">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u val="double"/>
      <sz val="12"/>
      <color rgb="FFCC00CC"/>
      <name val="Calibri"/>
      <family val="2"/>
      <scheme val="minor"/>
    </font>
    <font>
      <b/>
      <u val="double"/>
      <sz val="14"/>
      <color rgb="FF0000CC"/>
      <name val="Calibri"/>
      <family val="2"/>
      <scheme val="minor"/>
    </font>
    <font>
      <sz val="11"/>
      <color rgb="FF66FF33"/>
      <name val="Calibri"/>
      <family val="2"/>
      <scheme val="minor"/>
    </font>
    <font>
      <sz val="11"/>
      <color rgb="FF66FF66"/>
      <name val="Calibri"/>
      <family val="2"/>
      <scheme val="minor"/>
    </font>
    <font>
      <sz val="16"/>
      <color rgb="FF0000CC"/>
      <name val="Wingdings"/>
      <charset val="2"/>
    </font>
    <font>
      <sz val="11"/>
      <color rgb="FF0000CC"/>
      <name val="Calibri"/>
      <family val="2"/>
      <scheme val="minor"/>
    </font>
    <font>
      <sz val="11"/>
      <color theme="7" tint="-0.249977111117893"/>
      <name val="Calibri"/>
      <family val="2"/>
      <scheme val="minor"/>
    </font>
    <font>
      <b/>
      <sz val="13"/>
      <color theme="1"/>
      <name val="Calibri"/>
      <family val="2"/>
      <scheme val="minor"/>
    </font>
    <font>
      <b/>
      <u val="double"/>
      <sz val="14"/>
      <color rgb="FFCC00CC"/>
      <name val="Calibri"/>
      <family val="2"/>
      <scheme val="minor"/>
    </font>
    <font>
      <b/>
      <sz val="13"/>
      <color rgb="FFFF0000"/>
      <name val="Calibri"/>
      <family val="2"/>
      <scheme val="minor"/>
    </font>
    <font>
      <sz val="10"/>
      <color theme="1"/>
      <name val="Calibri"/>
      <family val="2"/>
      <scheme val="minor"/>
    </font>
    <font>
      <b/>
      <u val="double"/>
      <sz val="12"/>
      <color rgb="FF0000CC"/>
      <name val="Calibri"/>
      <family val="2"/>
      <scheme val="minor"/>
    </font>
    <font>
      <b/>
      <u/>
      <sz val="16"/>
      <color theme="1"/>
      <name val="Calibri"/>
      <family val="2"/>
      <scheme val="minor"/>
    </font>
    <font>
      <u val="double"/>
      <sz val="11"/>
      <color theme="1"/>
      <name val="Calibri"/>
      <family val="2"/>
      <scheme val="minor"/>
    </font>
    <font>
      <b/>
      <u/>
      <sz val="11"/>
      <color theme="1"/>
      <name val="Calibri"/>
      <family val="2"/>
      <scheme val="minor"/>
    </font>
    <font>
      <b/>
      <u val="double"/>
      <sz val="12"/>
      <color theme="1"/>
      <name val="Calibri"/>
      <family val="2"/>
      <scheme val="minor"/>
    </font>
    <font>
      <b/>
      <u/>
      <sz val="14"/>
      <color theme="1"/>
      <name val="Calibri"/>
      <family val="2"/>
      <scheme val="minor"/>
    </font>
    <font>
      <sz val="10.5"/>
      <color theme="1"/>
      <name val="Calibri"/>
      <family val="2"/>
      <scheme val="minor"/>
    </font>
    <font>
      <sz val="11"/>
      <color rgb="FF002060"/>
      <name val="Calibri"/>
      <family val="2"/>
      <scheme val="minor"/>
    </font>
    <font>
      <sz val="11"/>
      <name val="Calibri"/>
      <family val="2"/>
      <scheme val="minor"/>
    </font>
    <font>
      <sz val="10.5"/>
      <name val="Calibri"/>
      <family val="2"/>
      <scheme val="minor"/>
    </font>
    <font>
      <b/>
      <sz val="12"/>
      <name val="Calibri"/>
      <family val="2"/>
      <scheme val="minor"/>
    </font>
    <font>
      <b/>
      <sz val="11"/>
      <name val="Calibri"/>
      <family val="2"/>
      <scheme val="minor"/>
    </font>
    <font>
      <sz val="12"/>
      <color theme="1"/>
      <name val="Calibri"/>
      <family val="2"/>
      <scheme val="minor"/>
    </font>
    <font>
      <b/>
      <u/>
      <sz val="12"/>
      <color theme="1"/>
      <name val="Calibri"/>
      <family val="2"/>
      <scheme val="minor"/>
    </font>
    <font>
      <sz val="13"/>
      <color theme="1"/>
      <name val="Calibri"/>
      <family val="2"/>
      <scheme val="minor"/>
    </font>
    <font>
      <b/>
      <sz val="11.5"/>
      <color theme="1"/>
      <name val="Calibri"/>
      <family val="2"/>
      <scheme val="minor"/>
    </font>
    <font>
      <b/>
      <sz val="10"/>
      <color theme="1"/>
      <name val="Calibri"/>
      <family val="2"/>
      <scheme val="minor"/>
    </font>
    <font>
      <b/>
      <u/>
      <sz val="12"/>
      <color rgb="FFFF0000"/>
      <name val="Calibri"/>
      <family val="2"/>
      <scheme val="minor"/>
    </font>
    <font>
      <sz val="11"/>
      <color theme="5" tint="-0.249977111117893"/>
      <name val="Calibri"/>
      <family val="2"/>
      <scheme val="minor"/>
    </font>
    <font>
      <b/>
      <sz val="11"/>
      <color rgb="FFFF0000"/>
      <name val="Calibri"/>
      <family val="2"/>
      <scheme val="minor"/>
    </font>
    <font>
      <sz val="11"/>
      <color theme="0" tint="-0.34998626667073579"/>
      <name val="Calibri"/>
      <family val="2"/>
      <scheme val="minor"/>
    </font>
    <font>
      <b/>
      <sz val="12"/>
      <color rgb="FF0000CC"/>
      <name val="Calibri"/>
      <family val="2"/>
      <scheme val="minor"/>
    </font>
    <font>
      <b/>
      <sz val="11"/>
      <color rgb="FFCC00CC"/>
      <name val="Calibri"/>
      <family val="2"/>
      <scheme val="minor"/>
    </font>
    <font>
      <b/>
      <sz val="12"/>
      <color rgb="FFCC00CC"/>
      <name val="Calibri"/>
      <family val="2"/>
      <scheme val="minor"/>
    </font>
    <font>
      <b/>
      <sz val="11"/>
      <color rgb="FF0000CC"/>
      <name val="Calibri"/>
      <family val="2"/>
      <scheme val="minor"/>
    </font>
    <font>
      <b/>
      <sz val="10"/>
      <color rgb="FFCC00CC"/>
      <name val="Calibri"/>
      <family val="2"/>
      <scheme val="minor"/>
    </font>
    <font>
      <b/>
      <sz val="18"/>
      <color rgb="FFC00000"/>
      <name val="Calibri"/>
      <family val="2"/>
      <scheme val="minor"/>
    </font>
    <font>
      <b/>
      <sz val="14"/>
      <name val="Calibri"/>
      <family val="2"/>
      <scheme val="minor"/>
    </font>
    <font>
      <b/>
      <sz val="12"/>
      <color rgb="FF0033CC"/>
      <name val="Calibri"/>
      <family val="2"/>
      <scheme val="minor"/>
    </font>
    <font>
      <b/>
      <i/>
      <u/>
      <sz val="14"/>
      <name val="Calibri"/>
      <family val="2"/>
      <scheme val="minor"/>
    </font>
    <font>
      <b/>
      <sz val="11"/>
      <color rgb="FFC00000"/>
      <name val="Calibri"/>
      <family val="2"/>
      <scheme val="minor"/>
    </font>
    <font>
      <b/>
      <u/>
      <sz val="13"/>
      <color theme="1"/>
      <name val="Calibri"/>
      <family val="2"/>
      <scheme val="minor"/>
    </font>
    <font>
      <sz val="11"/>
      <color theme="0"/>
      <name val="Calibri"/>
      <family val="2"/>
      <scheme val="minor"/>
    </font>
    <font>
      <b/>
      <sz val="11"/>
      <color theme="5" tint="-0.499984740745262"/>
      <name val="Calibri"/>
      <family val="2"/>
      <scheme val="minor"/>
    </font>
    <font>
      <b/>
      <sz val="14"/>
      <color theme="5" tint="-0.499984740745262"/>
      <name val="Calibri"/>
      <family val="2"/>
      <scheme val="minor"/>
    </font>
    <font>
      <b/>
      <u/>
      <sz val="14"/>
      <name val="Calibri"/>
      <family val="2"/>
      <scheme val="minor"/>
    </font>
    <font>
      <b/>
      <i/>
      <u val="double"/>
      <sz val="20"/>
      <name val="Cambria"/>
      <family val="1"/>
      <scheme val="major"/>
    </font>
    <font>
      <b/>
      <u/>
      <sz val="16"/>
      <color rgb="FF0000CC"/>
      <name val="Calibri"/>
      <family val="2"/>
      <scheme val="minor"/>
    </font>
    <font>
      <b/>
      <sz val="11"/>
      <color theme="0"/>
      <name val="Calibri"/>
      <family val="2"/>
      <scheme val="minor"/>
    </font>
    <font>
      <b/>
      <sz val="9"/>
      <color theme="1"/>
      <name val="Calibri"/>
      <family val="2"/>
      <scheme val="minor"/>
    </font>
    <font>
      <b/>
      <sz val="12"/>
      <color theme="1"/>
      <name val="Cambria"/>
      <family val="1"/>
      <scheme val="major"/>
    </font>
    <font>
      <b/>
      <sz val="12"/>
      <color rgb="FFC00000"/>
      <name val="Calibri"/>
      <family val="2"/>
      <scheme val="minor"/>
    </font>
    <font>
      <b/>
      <sz val="14"/>
      <color rgb="FFC00000"/>
      <name val="Calibri"/>
      <family val="2"/>
      <scheme val="minor"/>
    </font>
    <font>
      <b/>
      <sz val="13"/>
      <color rgb="FFC00000"/>
      <name val="Calibri"/>
      <family val="2"/>
      <scheme val="minor"/>
    </font>
    <font>
      <b/>
      <sz val="13"/>
      <color rgb="FF0000CC"/>
      <name val="Calibri"/>
      <family val="2"/>
      <scheme val="minor"/>
    </font>
    <font>
      <b/>
      <i/>
      <sz val="13"/>
      <color theme="1"/>
      <name val="Calibri"/>
      <family val="2"/>
      <scheme val="minor"/>
    </font>
    <font>
      <i/>
      <sz val="12"/>
      <color theme="1"/>
      <name val="Calibri"/>
      <family val="2"/>
      <scheme val="minor"/>
    </font>
    <font>
      <sz val="14"/>
      <color theme="1"/>
      <name val="Calibri"/>
      <family val="2"/>
      <scheme val="minor"/>
    </font>
    <font>
      <sz val="14"/>
      <color theme="1"/>
      <name val="Kruti Dev 010"/>
    </font>
    <font>
      <sz val="14"/>
      <color theme="1"/>
      <name val="DevLys 010"/>
    </font>
    <font>
      <b/>
      <sz val="10"/>
      <color rgb="FFFF0000"/>
      <name val="Calibri"/>
      <family val="2"/>
      <scheme val="minor"/>
    </font>
    <font>
      <sz val="11"/>
      <color theme="6" tint="0.39997558519241921"/>
      <name val="Calibri"/>
      <family val="2"/>
      <scheme val="minor"/>
    </font>
    <font>
      <b/>
      <sz val="10"/>
      <color rgb="FF0000CC"/>
      <name val="Calibri"/>
      <family val="2"/>
      <scheme val="minor"/>
    </font>
    <font>
      <sz val="18"/>
      <color rgb="FFC00000"/>
      <name val="Wingdings"/>
      <charset val="2"/>
    </font>
    <font>
      <b/>
      <sz val="10.5"/>
      <color rgb="FF7030A0"/>
      <name val="Calibri"/>
      <family val="2"/>
      <scheme val="minor"/>
    </font>
    <font>
      <b/>
      <sz val="12"/>
      <color rgb="FFFF0000"/>
      <name val="Calibri"/>
      <family val="2"/>
      <scheme val="minor"/>
    </font>
    <font>
      <b/>
      <i/>
      <u/>
      <sz val="18"/>
      <color rgb="FF7030A0"/>
      <name val="Calibri"/>
      <family val="2"/>
      <scheme val="minor"/>
    </font>
    <font>
      <b/>
      <i/>
      <sz val="16"/>
      <color rgb="FFD60093"/>
      <name val="Calibri"/>
      <family val="2"/>
      <scheme val="minor"/>
    </font>
    <font>
      <b/>
      <i/>
      <sz val="16"/>
      <color theme="1"/>
      <name val="Calibri"/>
      <family val="2"/>
      <scheme val="minor"/>
    </font>
    <font>
      <b/>
      <i/>
      <sz val="16"/>
      <color rgb="FFFF0000"/>
      <name val="Calibri"/>
      <family val="2"/>
      <scheme val="minor"/>
    </font>
    <font>
      <u/>
      <sz val="10"/>
      <color theme="10"/>
      <name val="Arial"/>
      <family val="2"/>
    </font>
    <font>
      <b/>
      <i/>
      <u/>
      <sz val="18"/>
      <color theme="9" tint="-0.499984740745262"/>
      <name val="Calibri"/>
      <family val="2"/>
    </font>
    <font>
      <b/>
      <u/>
      <sz val="14"/>
      <color theme="10"/>
      <name val="Calibri"/>
      <family val="2"/>
      <scheme val="minor"/>
    </font>
    <font>
      <b/>
      <u/>
      <sz val="14"/>
      <color theme="10"/>
      <name val="Arial"/>
      <family val="2"/>
    </font>
    <font>
      <b/>
      <i/>
      <u val="double"/>
      <sz val="20"/>
      <color rgb="FFFF0000"/>
      <name val="Cambria"/>
      <family val="1"/>
      <scheme val="major"/>
    </font>
    <font>
      <b/>
      <sz val="8"/>
      <name val="Calibri"/>
      <family val="2"/>
      <scheme val="minor"/>
    </font>
    <font>
      <b/>
      <sz val="13"/>
      <color rgb="FFCC00CC"/>
      <name val="Calibri"/>
      <family val="2"/>
      <scheme val="minor"/>
    </font>
    <font>
      <sz val="11"/>
      <color rgb="FFFF0000"/>
      <name val="Calibri"/>
      <family val="2"/>
      <scheme val="minor"/>
    </font>
  </fonts>
  <fills count="22">
    <fill>
      <patternFill patternType="none"/>
    </fill>
    <fill>
      <patternFill patternType="gray125"/>
    </fill>
    <fill>
      <patternFill patternType="solid">
        <fgColor rgb="FF66FF66"/>
        <bgColor indexed="64"/>
      </patternFill>
    </fill>
    <fill>
      <gradientFill degree="90">
        <stop position="0">
          <color theme="5" tint="0.40000610370189521"/>
        </stop>
        <stop position="1">
          <color rgb="FF92D050"/>
        </stop>
      </gradientFill>
    </fill>
    <fill>
      <gradientFill degree="90">
        <stop position="0">
          <color rgb="FF92D050"/>
        </stop>
        <stop position="1">
          <color theme="5" tint="0.40000610370189521"/>
        </stop>
      </gradientFill>
    </fill>
    <fill>
      <gradientFill degree="45">
        <stop position="0">
          <color theme="8" tint="0.40000610370189521"/>
        </stop>
        <stop position="1">
          <color theme="9"/>
        </stop>
      </gradientFill>
    </fill>
    <fill>
      <gradientFill>
        <stop position="0">
          <color theme="8" tint="0.40000610370189521"/>
        </stop>
        <stop position="1">
          <color theme="6"/>
        </stop>
      </gradientFill>
    </fill>
    <fill>
      <gradientFill degree="90">
        <stop position="0">
          <color theme="7" tint="0.40000610370189521"/>
        </stop>
        <stop position="1">
          <color theme="6" tint="0.40000610370189521"/>
        </stop>
      </gradientFill>
    </fill>
    <fill>
      <gradientFill degree="90">
        <stop position="0">
          <color theme="7" tint="0.40000610370189521"/>
        </stop>
        <stop position="1">
          <color theme="4" tint="0.40000610370189521"/>
        </stop>
      </gradientFill>
    </fill>
    <fill>
      <patternFill patternType="solid">
        <fgColor rgb="FFCCFF99"/>
        <bgColor indexed="64"/>
      </patternFill>
    </fill>
    <fill>
      <patternFill patternType="solid">
        <fgColor theme="5" tint="0.39997558519241921"/>
        <bgColor indexed="64"/>
      </patternFill>
    </fill>
    <fill>
      <gradientFill type="path" left="0.5" right="0.5" top="0.5" bottom="0.5">
        <stop position="0">
          <color theme="0"/>
        </stop>
        <stop position="1">
          <color theme="4"/>
        </stop>
      </gradientFill>
    </fill>
    <fill>
      <patternFill patternType="solid">
        <fgColor theme="6" tint="0.59999389629810485"/>
        <bgColor indexed="64"/>
      </patternFill>
    </fill>
    <fill>
      <gradientFill degree="90">
        <stop position="0">
          <color theme="5" tint="0.40000610370189521"/>
        </stop>
        <stop position="1">
          <color theme="4"/>
        </stop>
      </gradientFill>
    </fill>
    <fill>
      <gradientFill>
        <stop position="0">
          <color theme="5" tint="0.40000610370189521"/>
        </stop>
        <stop position="1">
          <color theme="4"/>
        </stop>
      </gradientFill>
    </fill>
    <fill>
      <patternFill patternType="solid">
        <fgColor theme="8" tint="0.399975585192419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bottom/>
      <diagonal/>
    </border>
    <border>
      <left style="dashed">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rgb="FF7030A0"/>
      </left>
      <right style="dotted">
        <color rgb="FF7030A0"/>
      </right>
      <top style="dotted">
        <color rgb="FF7030A0"/>
      </top>
      <bottom style="dotted">
        <color rgb="FF7030A0"/>
      </bottom>
      <diagonal/>
    </border>
    <border>
      <left/>
      <right style="dotted">
        <color rgb="FF7030A0"/>
      </right>
      <top/>
      <bottom/>
      <diagonal/>
    </border>
    <border>
      <left style="medium">
        <color rgb="FFCC00CC"/>
      </left>
      <right/>
      <top/>
      <bottom/>
      <diagonal/>
    </border>
    <border>
      <left/>
      <right style="medium">
        <color rgb="FFCC00CC"/>
      </right>
      <top/>
      <bottom/>
      <diagonal/>
    </border>
    <border>
      <left style="medium">
        <color rgb="FFCC00CC"/>
      </left>
      <right/>
      <top/>
      <bottom style="medium">
        <color rgb="FFCC00CC"/>
      </bottom>
      <diagonal/>
    </border>
    <border>
      <left/>
      <right/>
      <top/>
      <bottom style="medium">
        <color rgb="FFCC00CC"/>
      </bottom>
      <diagonal/>
    </border>
    <border>
      <left/>
      <right style="medium">
        <color rgb="FFCC00CC"/>
      </right>
      <top/>
      <bottom style="medium">
        <color rgb="FFCC00CC"/>
      </bottom>
      <diagonal/>
    </border>
    <border>
      <left style="medium">
        <color rgb="FFCC00CC"/>
      </left>
      <right/>
      <top style="medium">
        <color rgb="FFCC00CC"/>
      </top>
      <bottom style="medium">
        <color rgb="FFCC00CC"/>
      </bottom>
      <diagonal/>
    </border>
    <border>
      <left/>
      <right/>
      <top style="medium">
        <color rgb="FFCC00CC"/>
      </top>
      <bottom style="medium">
        <color rgb="FFCC00CC"/>
      </bottom>
      <diagonal/>
    </border>
    <border>
      <left/>
      <right style="medium">
        <color rgb="FFCC00CC"/>
      </right>
      <top style="medium">
        <color rgb="FFCC00CC"/>
      </top>
      <bottom style="medium">
        <color rgb="FFCC00CC"/>
      </bottom>
      <diagonal/>
    </border>
  </borders>
  <cellStyleXfs count="2">
    <xf numFmtId="0" fontId="0" fillId="0" borderId="0"/>
    <xf numFmtId="0" fontId="75" fillId="0" borderId="0" applyNumberFormat="0" applyFill="0" applyBorder="0" applyAlignment="0" applyProtection="0">
      <alignment vertical="top"/>
      <protection locked="0"/>
    </xf>
  </cellStyleXfs>
  <cellXfs count="358">
    <xf numFmtId="0" fontId="0" fillId="0" borderId="0" xfId="0"/>
    <xf numFmtId="0" fontId="0" fillId="2" borderId="0" xfId="0" applyFill="1" applyProtection="1">
      <protection hidden="1"/>
    </xf>
    <xf numFmtId="0" fontId="0" fillId="4" borderId="0" xfId="0" applyFill="1" applyProtection="1">
      <protection hidden="1"/>
    </xf>
    <xf numFmtId="0" fontId="0" fillId="4" borderId="0" xfId="0" applyFill="1" applyAlignment="1" applyProtection="1">
      <alignment horizontal="right" vertical="center"/>
      <protection hidden="1"/>
    </xf>
    <xf numFmtId="0" fontId="0" fillId="4" borderId="0" xfId="0" applyFill="1" applyAlignment="1" applyProtection="1">
      <alignment horizontal="center" vertical="center"/>
      <protection hidden="1"/>
    </xf>
    <xf numFmtId="0" fontId="0" fillId="0" borderId="0" xfId="0" applyProtection="1">
      <protection hidden="1"/>
    </xf>
    <xf numFmtId="0" fontId="0" fillId="3" borderId="0" xfId="0" applyFill="1" applyProtection="1">
      <protection hidden="1"/>
    </xf>
    <xf numFmtId="0" fontId="0" fillId="2" borderId="0" xfId="0" applyFill="1" applyAlignment="1" applyProtection="1">
      <alignment horizontal="right" vertical="center"/>
      <protection hidden="1"/>
    </xf>
    <xf numFmtId="0" fontId="0" fillId="2" borderId="0" xfId="0" applyFill="1" applyAlignment="1" applyProtection="1">
      <alignment horizontal="center" vertical="center"/>
      <protection hidden="1"/>
    </xf>
    <xf numFmtId="0" fontId="1" fillId="5" borderId="0" xfId="0" applyFont="1" applyFill="1" applyAlignment="1" applyProtection="1">
      <alignment horizontal="right" vertical="center"/>
      <protection hidden="1"/>
    </xf>
    <xf numFmtId="0" fontId="2" fillId="2" borderId="0" xfId="0" applyFont="1" applyFill="1" applyAlignment="1" applyProtection="1">
      <alignment vertical="center"/>
      <protection hidden="1"/>
    </xf>
    <xf numFmtId="0" fontId="1" fillId="2" borderId="0" xfId="0" applyFont="1" applyFill="1" applyAlignment="1" applyProtection="1">
      <alignment horizontal="right" vertical="center"/>
      <protection hidden="1"/>
    </xf>
    <xf numFmtId="0" fontId="1" fillId="6" borderId="0" xfId="0" applyFont="1" applyFill="1" applyAlignment="1" applyProtection="1">
      <alignment horizontal="right" vertical="center"/>
      <protection hidden="1"/>
    </xf>
    <xf numFmtId="0" fontId="1" fillId="7" borderId="0" xfId="0" applyFont="1" applyFill="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2" fillId="2" borderId="0" xfId="0" applyFont="1" applyFill="1" applyAlignment="1" applyProtection="1">
      <alignment horizontal="right" vertical="center"/>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4" fillId="2" borderId="0" xfId="0" applyFont="1" applyFill="1" applyAlignment="1" applyProtection="1">
      <alignment vertical="center"/>
      <protection hidden="1"/>
    </xf>
    <xf numFmtId="164" fontId="1" fillId="0" borderId="0" xfId="0" applyNumberFormat="1" applyFont="1" applyFill="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9" fillId="2" borderId="0" xfId="0" applyFont="1" applyFill="1" applyProtection="1">
      <protection hidden="1"/>
    </xf>
    <xf numFmtId="165" fontId="2" fillId="0" borderId="0" xfId="0" applyNumberFormat="1" applyFont="1" applyFill="1" applyAlignment="1" applyProtection="1">
      <alignment horizontal="center" vertical="center"/>
      <protection locked="0"/>
    </xf>
    <xf numFmtId="166" fontId="2" fillId="0" borderId="0" xfId="0" applyNumberFormat="1" applyFont="1" applyFill="1" applyAlignment="1" applyProtection="1">
      <alignment horizontal="center" vertical="center"/>
      <protection locked="0"/>
    </xf>
    <xf numFmtId="0" fontId="10" fillId="2" borderId="0" xfId="0" applyFont="1" applyFill="1" applyAlignment="1" applyProtection="1">
      <alignment horizontal="center" vertical="center"/>
      <protection hidden="1"/>
    </xf>
    <xf numFmtId="164" fontId="2" fillId="0" borderId="0" xfId="0" applyNumberFormat="1"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hidden="1"/>
    </xf>
    <xf numFmtId="0" fontId="5" fillId="8" borderId="0" xfId="0" applyFont="1" applyFill="1" applyAlignment="1" applyProtection="1">
      <alignment vertical="center"/>
      <protection hidden="1"/>
    </xf>
    <xf numFmtId="0" fontId="0" fillId="2" borderId="0" xfId="0" applyFill="1" applyAlignment="1" applyProtection="1">
      <alignment horizontal="right"/>
      <protection hidden="1"/>
    </xf>
    <xf numFmtId="0" fontId="2" fillId="0" borderId="0" xfId="0" applyFont="1" applyFill="1" applyAlignment="1" applyProtection="1">
      <alignment horizontal="center" vertical="center"/>
      <protection locked="0"/>
    </xf>
    <xf numFmtId="0" fontId="0" fillId="9" borderId="0" xfId="0" applyFill="1" applyProtection="1">
      <protection hidden="1"/>
    </xf>
    <xf numFmtId="0" fontId="1" fillId="9" borderId="0" xfId="0" applyFont="1" applyFill="1" applyAlignment="1" applyProtection="1">
      <alignment horizontal="right" vertical="center"/>
      <protection hidden="1"/>
    </xf>
    <xf numFmtId="0" fontId="0" fillId="9" borderId="0" xfId="0" applyFill="1" applyAlignment="1" applyProtection="1">
      <alignment horizontal="right" vertical="center"/>
      <protection hidden="1"/>
    </xf>
    <xf numFmtId="0" fontId="0" fillId="9" borderId="0" xfId="0" applyFill="1" applyAlignment="1" applyProtection="1">
      <alignment horizontal="center" vertical="center"/>
      <protection hidden="1"/>
    </xf>
    <xf numFmtId="0" fontId="1" fillId="9" borderId="0" xfId="0" applyFont="1" applyFill="1" applyAlignment="1" applyProtection="1">
      <alignment horizontal="center" vertical="center"/>
      <protection hidden="1"/>
    </xf>
    <xf numFmtId="164" fontId="2" fillId="9" borderId="0" xfId="0" applyNumberFormat="1" applyFont="1" applyFill="1" applyAlignment="1" applyProtection="1">
      <alignment horizontal="center" vertical="center"/>
      <protection hidden="1"/>
    </xf>
    <xf numFmtId="164" fontId="2" fillId="0" borderId="4"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0" fillId="10" borderId="0" xfId="0" applyFill="1" applyProtection="1">
      <protection hidden="1"/>
    </xf>
    <xf numFmtId="0" fontId="0" fillId="11" borderId="0" xfId="0" applyFill="1" applyProtection="1">
      <protection hidden="1"/>
    </xf>
    <xf numFmtId="0" fontId="0" fillId="10" borderId="0" xfId="0" applyFill="1" applyAlignment="1" applyProtection="1">
      <alignment horizontal="center" vertical="center"/>
      <protection hidden="1"/>
    </xf>
    <xf numFmtId="0" fontId="1" fillId="9" borderId="0" xfId="0" applyFont="1" applyFill="1" applyAlignment="1" applyProtection="1">
      <alignment horizontal="center" vertical="center"/>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0" fillId="0" borderId="16" xfId="0" applyBorder="1" applyProtection="1">
      <protection hidden="1"/>
    </xf>
    <xf numFmtId="0" fontId="0" fillId="0" borderId="0" xfId="0" applyBorder="1" applyProtection="1">
      <protection hidden="1"/>
    </xf>
    <xf numFmtId="0" fontId="0" fillId="0" borderId="17" xfId="0" applyBorder="1" applyProtection="1">
      <protection hidden="1"/>
    </xf>
    <xf numFmtId="0" fontId="27" fillId="0" borderId="0" xfId="0" applyFont="1" applyBorder="1" applyAlignment="1" applyProtection="1">
      <alignment horizontal="center" vertical="center"/>
      <protection hidden="1"/>
    </xf>
    <xf numFmtId="0" fontId="0" fillId="0" borderId="17" xfId="0" applyBorder="1" applyAlignment="1" applyProtection="1">
      <protection hidden="1"/>
    </xf>
    <xf numFmtId="0" fontId="27" fillId="0" borderId="0" xfId="0" applyFont="1" applyBorder="1" applyAlignment="1" applyProtection="1">
      <alignment horizontal="right" vertical="top"/>
      <protection hidden="1"/>
    </xf>
    <xf numFmtId="0" fontId="0" fillId="0" borderId="18" xfId="0" applyBorder="1" applyProtection="1">
      <protection hidden="1"/>
    </xf>
    <xf numFmtId="0" fontId="0" fillId="0" borderId="19" xfId="0" applyBorder="1" applyProtection="1">
      <protection hidden="1"/>
    </xf>
    <xf numFmtId="0" fontId="0" fillId="0" borderId="20" xfId="0" applyBorder="1" applyProtection="1">
      <protection hidden="1"/>
    </xf>
    <xf numFmtId="0" fontId="0" fillId="0" borderId="16" xfId="0" quotePrefix="1" applyBorder="1" applyAlignment="1" applyProtection="1">
      <alignment horizontal="center"/>
      <protection hidden="1"/>
    </xf>
    <xf numFmtId="0" fontId="0" fillId="0" borderId="0" xfId="0" applyBorder="1" applyAlignment="1" applyProtection="1">
      <alignment horizontal="center"/>
      <protection hidden="1"/>
    </xf>
    <xf numFmtId="0" fontId="0" fillId="0" borderId="17" xfId="0" applyBorder="1" applyAlignment="1" applyProtection="1">
      <alignment horizontal="center"/>
      <protection hidden="1"/>
    </xf>
    <xf numFmtId="0" fontId="0" fillId="12" borderId="0" xfId="0" applyFill="1" applyProtection="1">
      <protection hidden="1"/>
    </xf>
    <xf numFmtId="0" fontId="1" fillId="15" borderId="1" xfId="0" applyFont="1" applyFill="1" applyBorder="1" applyAlignment="1" applyProtection="1">
      <alignment horizontal="center" vertical="center"/>
      <protection hidden="1"/>
    </xf>
    <xf numFmtId="0" fontId="2" fillId="15" borderId="1" xfId="0" applyFont="1" applyFill="1" applyBorder="1" applyAlignment="1" applyProtection="1">
      <alignment horizontal="center" vertical="center"/>
      <protection hidden="1"/>
    </xf>
    <xf numFmtId="0" fontId="0" fillId="0" borderId="0" xfId="0" applyFont="1" applyAlignment="1" applyProtection="1">
      <alignment horizontal="center" vertical="center"/>
      <protection hidden="1"/>
    </xf>
    <xf numFmtId="0" fontId="14" fillId="15" borderId="2" xfId="0" applyFont="1" applyFill="1" applyBorder="1" applyAlignment="1" applyProtection="1">
      <alignment horizontal="center" vertical="center"/>
      <protection hidden="1"/>
    </xf>
    <xf numFmtId="0" fontId="14" fillId="15" borderId="3" xfId="0" applyFont="1" applyFill="1" applyBorder="1" applyAlignment="1" applyProtection="1">
      <alignment horizontal="center" vertical="center"/>
      <protection hidden="1"/>
    </xf>
    <xf numFmtId="0" fontId="14" fillId="15" borderId="1" xfId="0" applyFont="1" applyFill="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4" xfId="0" applyBorder="1" applyProtection="1">
      <protection hidden="1"/>
    </xf>
    <xf numFmtId="0" fontId="17" fillId="0" borderId="0" xfId="0" applyFont="1" applyAlignment="1" applyProtection="1">
      <alignment horizontal="center" vertical="center"/>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0" fontId="18"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0" fontId="27" fillId="0" borderId="1" xfId="0" applyFont="1" applyBorder="1" applyAlignment="1" applyProtection="1">
      <alignment horizontal="center" vertical="center"/>
      <protection hidden="1"/>
    </xf>
    <xf numFmtId="0" fontId="0" fillId="0" borderId="1" xfId="0" applyBorder="1" applyProtection="1">
      <protection hidden="1"/>
    </xf>
    <xf numFmtId="0" fontId="0" fillId="0" borderId="0" xfId="0" applyFont="1" applyProtection="1">
      <protection hidden="1"/>
    </xf>
    <xf numFmtId="0" fontId="22" fillId="0" borderId="0" xfId="0" applyFont="1" applyAlignment="1" applyProtection="1">
      <alignment vertical="center"/>
      <protection hidden="1"/>
    </xf>
    <xf numFmtId="0" fontId="23" fillId="0" borderId="0" xfId="0" applyFont="1" applyAlignment="1" applyProtection="1">
      <alignment horizontal="left" vertical="center"/>
      <protection hidden="1"/>
    </xf>
    <xf numFmtId="0" fontId="23" fillId="0" borderId="0" xfId="0" applyFont="1" applyProtection="1">
      <protection hidden="1"/>
    </xf>
    <xf numFmtId="0" fontId="23" fillId="0" borderId="0" xfId="0" applyFont="1" applyAlignment="1" applyProtection="1">
      <alignment vertical="center"/>
      <protection hidden="1"/>
    </xf>
    <xf numFmtId="0" fontId="23" fillId="0" borderId="0" xfId="0" applyFont="1" applyAlignment="1" applyProtection="1">
      <alignment horizontal="right" vertical="center"/>
      <protection hidden="1"/>
    </xf>
    <xf numFmtId="0" fontId="24" fillId="0" borderId="0" xfId="0" applyFont="1" applyAlignment="1" applyProtection="1">
      <alignment horizontal="right" vertical="center" wrapText="1"/>
      <protection hidden="1"/>
    </xf>
    <xf numFmtId="0" fontId="24" fillId="0" borderId="0" xfId="0" applyFont="1" applyProtection="1">
      <protection hidden="1"/>
    </xf>
    <xf numFmtId="0" fontId="0" fillId="16" borderId="0" xfId="0" applyFill="1" applyProtection="1">
      <protection locked="0"/>
    </xf>
    <xf numFmtId="0" fontId="0" fillId="0" borderId="1" xfId="0" applyBorder="1" applyProtection="1">
      <protection locked="0"/>
    </xf>
    <xf numFmtId="14" fontId="0" fillId="0" borderId="0" xfId="0" applyNumberFormat="1" applyProtection="1">
      <protection hidden="1"/>
    </xf>
    <xf numFmtId="167" fontId="1"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65" fontId="2" fillId="0" borderId="8" xfId="0" applyNumberFormat="1" applyFont="1" applyFill="1" applyBorder="1" applyAlignment="1" applyProtection="1">
      <alignment horizontal="center" vertical="center"/>
      <protection locked="0"/>
    </xf>
    <xf numFmtId="165" fontId="2" fillId="0" borderId="9" xfId="0" applyNumberFormat="1" applyFont="1" applyFill="1" applyBorder="1" applyAlignment="1" applyProtection="1">
      <alignment horizontal="center" vertical="center"/>
      <protection locked="0"/>
    </xf>
    <xf numFmtId="166" fontId="2" fillId="0" borderId="10" xfId="0" applyNumberFormat="1" applyFont="1" applyFill="1" applyBorder="1" applyAlignment="1" applyProtection="1">
      <alignment horizontal="center" vertical="center"/>
      <protection locked="0"/>
    </xf>
    <xf numFmtId="0" fontId="33" fillId="9" borderId="0" xfId="0" applyFont="1" applyFill="1" applyAlignment="1" applyProtection="1">
      <alignment horizontal="center" vertical="center"/>
      <protection hidden="1"/>
    </xf>
    <xf numFmtId="0" fontId="12" fillId="8" borderId="0" xfId="0" applyFont="1" applyFill="1" applyAlignment="1" applyProtection="1">
      <alignment vertical="center"/>
      <protection hidden="1"/>
    </xf>
    <xf numFmtId="0" fontId="35" fillId="0" borderId="0" xfId="0" applyFont="1" applyProtection="1">
      <protection hidden="1"/>
    </xf>
    <xf numFmtId="0" fontId="34" fillId="9" borderId="0" xfId="0" applyFont="1" applyFill="1" applyAlignment="1" applyProtection="1">
      <alignment horizontal="center"/>
      <protection hidden="1"/>
    </xf>
    <xf numFmtId="0" fontId="1" fillId="9" borderId="0" xfId="0" applyFont="1" applyFill="1" applyAlignment="1" applyProtection="1">
      <alignment horizontal="center" vertical="center"/>
      <protection hidden="1"/>
    </xf>
    <xf numFmtId="0" fontId="0" fillId="0" borderId="1" xfId="0" applyBorder="1" applyAlignment="1" applyProtection="1">
      <alignment horizontal="center"/>
      <protection locked="0"/>
    </xf>
    <xf numFmtId="0" fontId="2" fillId="0" borderId="2" xfId="0" applyFont="1" applyBorder="1" applyAlignment="1" applyProtection="1">
      <alignment horizontal="center" vertical="center"/>
      <protection locked="0"/>
    </xf>
    <xf numFmtId="0" fontId="0" fillId="0" borderId="1" xfId="0" applyBorder="1" applyAlignment="1" applyProtection="1">
      <alignment horizontal="center" vertical="center"/>
      <protection hidden="1"/>
    </xf>
    <xf numFmtId="0" fontId="34" fillId="9" borderId="0" xfId="0" applyFont="1" applyFill="1" applyAlignment="1" applyProtection="1">
      <alignment horizontal="center"/>
      <protection hidden="1"/>
    </xf>
    <xf numFmtId="164" fontId="2" fillId="0" borderId="1" xfId="0" applyNumberFormat="1" applyFont="1" applyFill="1" applyBorder="1" applyAlignment="1" applyProtection="1">
      <alignment horizontal="center" vertical="center"/>
      <protection locked="0"/>
    </xf>
    <xf numFmtId="0" fontId="14" fillId="0" borderId="1" xfId="0" applyFont="1" applyBorder="1" applyAlignment="1" applyProtection="1">
      <alignment horizontal="center" vertical="center" wrapText="1"/>
      <protection hidden="1"/>
    </xf>
    <xf numFmtId="0" fontId="1" fillId="9" borderId="0" xfId="0" applyFont="1" applyFill="1" applyAlignment="1" applyProtection="1">
      <alignment horizontal="right" vertical="center"/>
      <protection hidden="1"/>
    </xf>
    <xf numFmtId="0" fontId="39" fillId="9" borderId="0" xfId="0" applyFont="1" applyFill="1" applyAlignment="1" applyProtection="1">
      <alignment horizontal="center" vertical="center" wrapText="1"/>
      <protection hidden="1"/>
    </xf>
    <xf numFmtId="0" fontId="40" fillId="9" borderId="0" xfId="0" applyFont="1" applyFill="1" applyAlignment="1" applyProtection="1">
      <alignment horizontal="right" vertical="center"/>
      <protection hidden="1"/>
    </xf>
    <xf numFmtId="0" fontId="31" fillId="7" borderId="0" xfId="0" applyFont="1" applyFill="1" applyAlignment="1" applyProtection="1">
      <alignment horizontal="center" vertical="center"/>
      <protection hidden="1"/>
    </xf>
    <xf numFmtId="0" fontId="1" fillId="0" borderId="0" xfId="0" applyFont="1" applyFill="1" applyAlignment="1" applyProtection="1">
      <alignment horizontal="center" vertical="center"/>
      <protection locked="0"/>
    </xf>
    <xf numFmtId="1" fontId="45" fillId="0" borderId="1" xfId="0" applyNumberFormat="1" applyFont="1" applyBorder="1" applyAlignment="1" applyProtection="1">
      <alignment horizontal="center" vertical="center"/>
      <protection hidden="1"/>
    </xf>
    <xf numFmtId="1" fontId="26" fillId="0" borderId="1" xfId="0" applyNumberFormat="1" applyFont="1" applyBorder="1" applyAlignment="1" applyProtection="1">
      <alignment horizontal="center" vertical="center"/>
      <protection hidden="1"/>
    </xf>
    <xf numFmtId="0" fontId="41" fillId="17" borderId="0" xfId="0" applyFont="1" applyFill="1" applyAlignment="1" applyProtection="1">
      <alignment vertical="center"/>
      <protection hidden="1"/>
    </xf>
    <xf numFmtId="168" fontId="1" fillId="0" borderId="1" xfId="0" applyNumberFormat="1" applyFont="1" applyBorder="1" applyAlignment="1" applyProtection="1">
      <alignment horizontal="center" vertical="center" wrapText="1"/>
      <protection hidden="1"/>
    </xf>
    <xf numFmtId="0" fontId="1" fillId="0" borderId="1" xfId="0" applyFont="1" applyBorder="1" applyAlignment="1" applyProtection="1">
      <alignment horizontal="center" vertical="center"/>
      <protection hidden="1"/>
    </xf>
    <xf numFmtId="0" fontId="26" fillId="0" borderId="1" xfId="0" applyFont="1" applyBorder="1" applyAlignment="1" applyProtection="1">
      <alignment horizontal="center" vertical="center"/>
      <protection hidden="1"/>
    </xf>
    <xf numFmtId="0" fontId="0" fillId="19" borderId="0" xfId="0" applyFill="1" applyProtection="1">
      <protection hidden="1"/>
    </xf>
    <xf numFmtId="165" fontId="2" fillId="0" borderId="26" xfId="0" applyNumberFormat="1" applyFont="1" applyFill="1" applyBorder="1" applyAlignment="1" applyProtection="1">
      <alignment horizontal="center" vertical="center"/>
      <protection locked="0"/>
    </xf>
    <xf numFmtId="166" fontId="2" fillId="0" borderId="26" xfId="0" applyNumberFormat="1" applyFont="1" applyFill="1" applyBorder="1" applyAlignment="1" applyProtection="1">
      <alignment horizontal="center" vertical="center"/>
      <protection locked="0"/>
    </xf>
    <xf numFmtId="0" fontId="42" fillId="17" borderId="0" xfId="0" applyFont="1" applyFill="1" applyBorder="1" applyAlignment="1" applyProtection="1">
      <alignment horizontal="right" vertical="center"/>
      <protection hidden="1"/>
    </xf>
    <xf numFmtId="0" fontId="43" fillId="17" borderId="0" xfId="0" applyFont="1" applyFill="1" applyBorder="1" applyAlignment="1" applyProtection="1">
      <alignment horizontal="left" vertical="center"/>
      <protection hidden="1"/>
    </xf>
    <xf numFmtId="0" fontId="43" fillId="17" borderId="0" xfId="0" applyFont="1" applyFill="1" applyBorder="1" applyAlignment="1" applyProtection="1">
      <alignment horizontal="center" vertical="center"/>
      <protection hidden="1"/>
    </xf>
    <xf numFmtId="0" fontId="47" fillId="0" borderId="0" xfId="0" applyFont="1" applyProtection="1">
      <protection hidden="1"/>
    </xf>
    <xf numFmtId="0" fontId="50" fillId="17" borderId="0" xfId="0" applyFont="1" applyFill="1" applyAlignment="1" applyProtection="1">
      <alignment horizontal="center" vertical="center"/>
      <protection hidden="1"/>
    </xf>
    <xf numFmtId="0" fontId="2" fillId="2" borderId="0" xfId="0" applyFont="1" applyFill="1" applyAlignment="1" applyProtection="1">
      <alignment horizontal="right" vertical="center"/>
      <protection hidden="1"/>
    </xf>
    <xf numFmtId="1" fontId="34" fillId="0" borderId="1" xfId="0" applyNumberFormat="1" applyFont="1" applyBorder="1" applyAlignment="1" applyProtection="1">
      <alignment horizontal="center" vertical="center"/>
      <protection hidden="1"/>
    </xf>
    <xf numFmtId="1" fontId="37" fillId="0" borderId="1" xfId="0" applyNumberFormat="1" applyFont="1" applyBorder="1" applyAlignment="1" applyProtection="1">
      <alignment horizontal="center" vertical="center"/>
      <protection hidden="1"/>
    </xf>
    <xf numFmtId="1" fontId="36" fillId="0" borderId="1" xfId="0" applyNumberFormat="1" applyFont="1" applyBorder="1" applyAlignment="1" applyProtection="1">
      <alignment horizontal="center" vertical="center"/>
      <protection hidden="1"/>
    </xf>
    <xf numFmtId="0" fontId="31" fillId="0" borderId="1" xfId="0" applyFont="1" applyFill="1" applyBorder="1" applyAlignment="1" applyProtection="1">
      <alignment horizontal="center" vertical="center"/>
      <protection hidden="1"/>
    </xf>
    <xf numFmtId="1" fontId="57" fillId="0" borderId="1" xfId="0" applyNumberFormat="1" applyFont="1" applyBorder="1" applyAlignment="1" applyProtection="1">
      <alignment horizontal="center" vertical="center" textRotation="90"/>
      <protection hidden="1"/>
    </xf>
    <xf numFmtId="1" fontId="58" fillId="0" borderId="1" xfId="0" applyNumberFormat="1" applyFont="1" applyBorder="1" applyAlignment="1" applyProtection="1">
      <alignment horizontal="center" vertical="center" textRotation="90"/>
      <protection hidden="1"/>
    </xf>
    <xf numFmtId="0" fontId="63" fillId="0" borderId="0" xfId="0" applyFont="1" applyProtection="1">
      <protection hidden="1"/>
    </xf>
    <xf numFmtId="0" fontId="62" fillId="0" borderId="0" xfId="0" applyFont="1" applyAlignment="1" applyProtection="1">
      <alignment horizontal="right" vertical="center"/>
      <protection hidden="1"/>
    </xf>
    <xf numFmtId="0" fontId="64" fillId="0" borderId="0" xfId="0" applyFont="1" applyProtection="1">
      <protection hidden="1"/>
    </xf>
    <xf numFmtId="0" fontId="65" fillId="17" borderId="0" xfId="0" applyFont="1" applyFill="1" applyBorder="1" applyAlignment="1" applyProtection="1">
      <alignment horizontal="center" vertical="center" shrinkToFit="1"/>
      <protection hidden="1"/>
    </xf>
    <xf numFmtId="0" fontId="62" fillId="0" borderId="0" xfId="0" applyFont="1" applyAlignment="1" applyProtection="1">
      <alignment horizontal="right"/>
      <protection hidden="1"/>
    </xf>
    <xf numFmtId="0" fontId="27" fillId="0" borderId="0" xfId="0" applyFont="1" applyAlignment="1" applyProtection="1">
      <alignment vertical="center"/>
      <protection hidden="1"/>
    </xf>
    <xf numFmtId="0" fontId="2" fillId="0" borderId="0" xfId="0" applyFont="1" applyAlignment="1" applyProtection="1">
      <alignment horizontal="left" vertical="center"/>
      <protection hidden="1"/>
    </xf>
    <xf numFmtId="0" fontId="2" fillId="0" borderId="0" xfId="0" applyFont="1" applyAlignment="1" applyProtection="1">
      <alignment vertical="center"/>
      <protection hidden="1"/>
    </xf>
    <xf numFmtId="0" fontId="11" fillId="0" borderId="0" xfId="0" applyFont="1" applyProtection="1">
      <protection hidden="1"/>
    </xf>
    <xf numFmtId="0" fontId="11" fillId="0" borderId="0" xfId="0" applyFont="1" applyAlignment="1" applyProtection="1">
      <alignment horizontal="center"/>
      <protection hidden="1"/>
    </xf>
    <xf numFmtId="14" fontId="47" fillId="0" borderId="0" xfId="0" applyNumberFormat="1" applyFont="1" applyProtection="1">
      <protection hidden="1"/>
    </xf>
    <xf numFmtId="167" fontId="47" fillId="0" borderId="0" xfId="0" applyNumberFormat="1" applyFont="1" applyProtection="1">
      <protection hidden="1"/>
    </xf>
    <xf numFmtId="168" fontId="53" fillId="0" borderId="1" xfId="0" applyNumberFormat="1" applyFont="1" applyBorder="1" applyAlignment="1" applyProtection="1">
      <alignment horizontal="center" vertical="center" wrapText="1"/>
      <protection hidden="1"/>
    </xf>
    <xf numFmtId="168" fontId="47" fillId="0" borderId="0" xfId="0" applyNumberFormat="1" applyFont="1" applyProtection="1">
      <protection hidden="1"/>
    </xf>
    <xf numFmtId="0" fontId="47" fillId="0" borderId="0" xfId="0" applyFont="1" applyBorder="1" applyProtection="1">
      <protection hidden="1"/>
    </xf>
    <xf numFmtId="0" fontId="0" fillId="19" borderId="13" xfId="0" applyFill="1" applyBorder="1" applyProtection="1">
      <protection hidden="1"/>
    </xf>
    <xf numFmtId="0" fontId="0" fillId="19" borderId="14" xfId="0" applyFill="1" applyBorder="1" applyProtection="1">
      <protection hidden="1"/>
    </xf>
    <xf numFmtId="0" fontId="66" fillId="19" borderId="14" xfId="0" applyFont="1" applyFill="1" applyBorder="1" applyProtection="1">
      <protection hidden="1"/>
    </xf>
    <xf numFmtId="0" fontId="66" fillId="19" borderId="15" xfId="0" applyFont="1" applyFill="1" applyBorder="1" applyProtection="1">
      <protection hidden="1"/>
    </xf>
    <xf numFmtId="0" fontId="0" fillId="19" borderId="16" xfId="0" applyFill="1" applyBorder="1" applyProtection="1">
      <protection hidden="1"/>
    </xf>
    <xf numFmtId="0" fontId="0" fillId="19" borderId="0" xfId="0" applyFill="1" applyBorder="1" applyProtection="1">
      <protection hidden="1"/>
    </xf>
    <xf numFmtId="0" fontId="66" fillId="19" borderId="0" xfId="0" applyFont="1" applyFill="1" applyBorder="1" applyProtection="1">
      <protection hidden="1"/>
    </xf>
    <xf numFmtId="0" fontId="66" fillId="19" borderId="17" xfId="0" applyFont="1" applyFill="1" applyBorder="1" applyProtection="1">
      <protection hidden="1"/>
    </xf>
    <xf numFmtId="0" fontId="2" fillId="19" borderId="0" xfId="0" applyFont="1" applyFill="1" applyBorder="1" applyAlignment="1" applyProtection="1">
      <alignment horizontal="center" vertical="center"/>
      <protection hidden="1"/>
    </xf>
    <xf numFmtId="0" fontId="33" fillId="19" borderId="0" xfId="0" applyFont="1" applyFill="1" applyBorder="1" applyAlignment="1" applyProtection="1">
      <alignment horizontal="center" vertical="center"/>
      <protection hidden="1"/>
    </xf>
    <xf numFmtId="165" fontId="66" fillId="19" borderId="0" xfId="0" applyNumberFormat="1" applyFont="1" applyFill="1" applyBorder="1" applyProtection="1">
      <protection hidden="1"/>
    </xf>
    <xf numFmtId="0" fontId="39" fillId="19" borderId="0" xfId="0" applyFont="1" applyFill="1" applyBorder="1" applyAlignment="1" applyProtection="1">
      <alignment horizontal="right"/>
      <protection hidden="1"/>
    </xf>
    <xf numFmtId="0" fontId="0" fillId="19" borderId="17" xfId="0" applyFill="1" applyBorder="1" applyProtection="1">
      <protection hidden="1"/>
    </xf>
    <xf numFmtId="0" fontId="68" fillId="19" borderId="0" xfId="0" applyFont="1" applyFill="1" applyBorder="1" applyAlignment="1" applyProtection="1">
      <alignment horizontal="center" vertical="center"/>
      <protection hidden="1"/>
    </xf>
    <xf numFmtId="0" fontId="48" fillId="19" borderId="0" xfId="0" applyFont="1" applyFill="1" applyBorder="1" applyAlignment="1" applyProtection="1">
      <alignment horizontal="right"/>
      <protection hidden="1"/>
    </xf>
    <xf numFmtId="0" fontId="66" fillId="19" borderId="0" xfId="0" applyFont="1" applyFill="1" applyBorder="1" applyAlignment="1" applyProtection="1">
      <alignment horizontal="center" vertical="center"/>
      <protection hidden="1"/>
    </xf>
    <xf numFmtId="0" fontId="0" fillId="19" borderId="18" xfId="0" applyFill="1" applyBorder="1" applyProtection="1">
      <protection hidden="1"/>
    </xf>
    <xf numFmtId="0" fontId="0" fillId="19" borderId="19" xfId="0" applyFont="1" applyFill="1" applyBorder="1" applyProtection="1">
      <protection hidden="1"/>
    </xf>
    <xf numFmtId="0" fontId="0" fillId="19" borderId="19" xfId="0" applyFont="1" applyFill="1" applyBorder="1" applyAlignment="1" applyProtection="1">
      <protection hidden="1"/>
    </xf>
    <xf numFmtId="0" fontId="0" fillId="19" borderId="20" xfId="0" applyFill="1" applyBorder="1" applyProtection="1">
      <protection hidden="1"/>
    </xf>
    <xf numFmtId="0" fontId="1" fillId="9" borderId="0" xfId="0" applyFont="1" applyFill="1" applyProtection="1">
      <protection hidden="1"/>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164" fontId="70" fillId="0" borderId="0" xfId="0" applyNumberFormat="1" applyFont="1" applyFill="1" applyAlignment="1" applyProtection="1">
      <alignment horizontal="center" vertical="center"/>
      <protection locked="0"/>
    </xf>
    <xf numFmtId="0" fontId="70" fillId="0" borderId="0" xfId="0" applyFont="1" applyAlignment="1" applyProtection="1">
      <alignment horizontal="center" vertical="center"/>
      <protection hidden="1"/>
    </xf>
    <xf numFmtId="0" fontId="36" fillId="0" borderId="0" xfId="0" applyFont="1" applyAlignment="1" applyProtection="1">
      <alignment horizontal="center" vertical="center"/>
      <protection hidden="1"/>
    </xf>
    <xf numFmtId="0" fontId="42" fillId="17" borderId="0" xfId="0" applyFont="1" applyFill="1" applyBorder="1" applyAlignment="1" applyProtection="1">
      <alignment horizontal="right" vertical="center"/>
      <protection hidden="1"/>
    </xf>
    <xf numFmtId="0" fontId="2" fillId="0" borderId="0" xfId="0" applyFont="1" applyAlignment="1" applyProtection="1">
      <alignment horizontal="left" vertical="center"/>
      <protection hidden="1"/>
    </xf>
    <xf numFmtId="0" fontId="78" fillId="2" borderId="0" xfId="1" applyFont="1" applyFill="1" applyAlignment="1" applyProtection="1">
      <alignment horizontal="center" vertical="center"/>
      <protection hidden="1"/>
    </xf>
    <xf numFmtId="0" fontId="38" fillId="2" borderId="0" xfId="0" applyFont="1" applyFill="1" applyAlignment="1" applyProtection="1">
      <alignment horizontal="center" vertical="center"/>
      <protection hidden="1"/>
    </xf>
    <xf numFmtId="164" fontId="3" fillId="21" borderId="0" xfId="0" applyNumberFormat="1" applyFont="1" applyFill="1" applyAlignment="1" applyProtection="1">
      <alignment horizontal="center" vertical="center"/>
      <protection hidden="1"/>
    </xf>
    <xf numFmtId="1" fontId="39" fillId="0" borderId="1" xfId="0" applyNumberFormat="1" applyFont="1" applyBorder="1" applyAlignment="1" applyProtection="1">
      <alignment horizontal="center" vertical="center"/>
      <protection hidden="1"/>
    </xf>
    <xf numFmtId="1" fontId="80" fillId="0" borderId="1" xfId="0" applyNumberFormat="1" applyFont="1" applyBorder="1" applyAlignment="1" applyProtection="1">
      <alignment horizontal="center" vertical="center" wrapText="1"/>
      <protection hidden="1"/>
    </xf>
    <xf numFmtId="167" fontId="70" fillId="2" borderId="0" xfId="0" applyNumberFormat="1" applyFont="1" applyFill="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82" fillId="0" borderId="0" xfId="0" applyFont="1" applyProtection="1">
      <protection hidden="1"/>
    </xf>
    <xf numFmtId="0" fontId="82" fillId="0" borderId="0" xfId="0" applyFont="1" applyBorder="1" applyProtection="1">
      <protection hidden="1"/>
    </xf>
    <xf numFmtId="0" fontId="2" fillId="2" borderId="0" xfId="0" applyFont="1" applyFill="1" applyAlignment="1" applyProtection="1">
      <alignment horizontal="right" vertical="center"/>
      <protection hidden="1"/>
    </xf>
    <xf numFmtId="0" fontId="2" fillId="0" borderId="0" xfId="0" applyFont="1" applyFill="1" applyAlignment="1" applyProtection="1">
      <alignment horizontal="left" vertical="center"/>
      <protection locked="0"/>
    </xf>
    <xf numFmtId="0" fontId="1" fillId="6" borderId="0" xfId="0" applyFont="1" applyFill="1" applyAlignment="1" applyProtection="1">
      <alignment horizontal="right" vertical="center"/>
      <protection hidden="1"/>
    </xf>
    <xf numFmtId="0" fontId="1" fillId="6"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5" fillId="8" borderId="0" xfId="0" applyFont="1" applyFill="1" applyAlignment="1" applyProtection="1">
      <alignment horizontal="center" vertical="center"/>
      <protection hidden="1"/>
    </xf>
    <xf numFmtId="0" fontId="11" fillId="0" borderId="0" xfId="0" applyFont="1" applyFill="1" applyAlignment="1" applyProtection="1">
      <alignment horizontal="left" vertical="center"/>
      <protection locked="0"/>
    </xf>
    <xf numFmtId="0" fontId="76" fillId="15" borderId="28" xfId="1" applyFont="1" applyFill="1" applyBorder="1" applyAlignment="1" applyProtection="1">
      <alignment horizontal="center" vertical="center"/>
      <protection hidden="1"/>
    </xf>
    <xf numFmtId="0" fontId="76" fillId="15" borderId="0" xfId="1" applyFont="1" applyFill="1" applyBorder="1" applyAlignment="1" applyProtection="1">
      <alignment horizontal="center" vertical="center"/>
      <protection hidden="1"/>
    </xf>
    <xf numFmtId="0" fontId="76" fillId="15" borderId="29" xfId="1" applyFont="1" applyFill="1" applyBorder="1" applyAlignment="1" applyProtection="1">
      <alignment horizontal="center" vertical="center"/>
      <protection hidden="1"/>
    </xf>
    <xf numFmtId="0" fontId="76" fillId="15" borderId="30" xfId="1" applyFont="1" applyFill="1" applyBorder="1" applyAlignment="1" applyProtection="1">
      <alignment horizontal="center" vertical="center"/>
      <protection hidden="1"/>
    </xf>
    <xf numFmtId="0" fontId="76" fillId="15" borderId="31" xfId="1" applyFont="1" applyFill="1" applyBorder="1" applyAlignment="1" applyProtection="1">
      <alignment horizontal="center" vertical="center"/>
      <protection hidden="1"/>
    </xf>
    <xf numFmtId="0" fontId="76" fillId="15" borderId="32" xfId="1" applyFont="1" applyFill="1" applyBorder="1" applyAlignment="1" applyProtection="1">
      <alignment horizontal="center" vertical="center"/>
      <protection hidden="1"/>
    </xf>
    <xf numFmtId="0" fontId="2" fillId="0" borderId="0" xfId="0" applyFont="1" applyFill="1" applyAlignment="1" applyProtection="1">
      <alignment horizontal="center" vertical="center"/>
      <protection locked="0"/>
    </xf>
    <xf numFmtId="0" fontId="70" fillId="20" borderId="33" xfId="0" applyFont="1" applyFill="1" applyBorder="1" applyAlignment="1" applyProtection="1">
      <alignment horizontal="center" vertical="center"/>
    </xf>
    <xf numFmtId="0" fontId="70" fillId="20" borderId="34" xfId="0" applyFont="1" applyFill="1" applyBorder="1" applyAlignment="1" applyProtection="1">
      <alignment horizontal="center" vertical="center"/>
    </xf>
    <xf numFmtId="0" fontId="70" fillId="20" borderId="35" xfId="0" applyFont="1" applyFill="1" applyBorder="1" applyAlignment="1" applyProtection="1">
      <alignment horizontal="center" vertical="center"/>
    </xf>
    <xf numFmtId="0" fontId="71" fillId="15" borderId="28" xfId="0" applyFont="1" applyFill="1" applyBorder="1" applyAlignment="1" applyProtection="1">
      <alignment horizontal="center" vertical="center"/>
      <protection hidden="1"/>
    </xf>
    <xf numFmtId="0" fontId="71" fillId="15" borderId="0" xfId="0" applyFont="1" applyFill="1" applyBorder="1" applyAlignment="1" applyProtection="1">
      <alignment horizontal="center" vertical="center"/>
      <protection hidden="1"/>
    </xf>
    <xf numFmtId="0" fontId="71" fillId="15" borderId="29" xfId="0" applyFont="1" applyFill="1" applyBorder="1" applyAlignment="1" applyProtection="1">
      <alignment horizontal="center" vertical="center"/>
      <protection hidden="1"/>
    </xf>
    <xf numFmtId="0" fontId="72" fillId="15" borderId="28" xfId="0" applyFont="1" applyFill="1" applyBorder="1" applyAlignment="1" applyProtection="1">
      <alignment horizontal="center" vertical="center"/>
      <protection hidden="1"/>
    </xf>
    <xf numFmtId="0" fontId="72" fillId="15" borderId="0" xfId="0" applyFont="1" applyFill="1" applyBorder="1" applyAlignment="1" applyProtection="1">
      <alignment horizontal="center" vertical="center"/>
      <protection hidden="1"/>
    </xf>
    <xf numFmtId="0" fontId="72" fillId="15" borderId="29" xfId="0" applyFont="1" applyFill="1" applyBorder="1" applyAlignment="1" applyProtection="1">
      <alignment horizontal="center" vertical="center"/>
      <protection hidden="1"/>
    </xf>
    <xf numFmtId="0" fontId="73" fillId="15" borderId="28" xfId="0" applyFont="1" applyFill="1" applyBorder="1" applyAlignment="1" applyProtection="1">
      <alignment horizontal="center" vertical="center"/>
      <protection hidden="1"/>
    </xf>
    <xf numFmtId="0" fontId="73" fillId="15" borderId="0" xfId="0" applyFont="1" applyFill="1" applyBorder="1" applyAlignment="1" applyProtection="1">
      <alignment horizontal="center" vertical="center"/>
      <protection hidden="1"/>
    </xf>
    <xf numFmtId="0" fontId="73" fillId="15" borderId="29" xfId="0" applyFont="1" applyFill="1" applyBorder="1" applyAlignment="1" applyProtection="1">
      <alignment horizontal="center" vertical="center"/>
      <protection hidden="1"/>
    </xf>
    <xf numFmtId="0" fontId="74" fillId="15" borderId="28" xfId="0" applyFont="1" applyFill="1" applyBorder="1" applyAlignment="1" applyProtection="1">
      <alignment horizontal="center" vertical="center"/>
      <protection hidden="1"/>
    </xf>
    <xf numFmtId="0" fontId="74" fillId="15" borderId="0" xfId="0" applyFont="1" applyFill="1" applyBorder="1" applyAlignment="1" applyProtection="1">
      <alignment horizontal="center" vertical="center"/>
      <protection hidden="1"/>
    </xf>
    <xf numFmtId="0" fontId="74" fillId="15" borderId="29" xfId="0" applyFont="1" applyFill="1" applyBorder="1" applyAlignment="1" applyProtection="1">
      <alignment horizontal="center" vertical="center"/>
      <protection hidden="1"/>
    </xf>
    <xf numFmtId="0" fontId="15" fillId="9" borderId="0" xfId="0" applyFont="1" applyFill="1" applyAlignment="1" applyProtection="1">
      <alignment horizontal="center" vertical="center"/>
      <protection hidden="1"/>
    </xf>
    <xf numFmtId="0" fontId="2" fillId="9" borderId="0" xfId="0" applyFont="1" applyFill="1" applyAlignment="1" applyProtection="1">
      <alignment horizontal="left" vertical="center"/>
      <protection hidden="1"/>
    </xf>
    <xf numFmtId="0" fontId="1" fillId="9" borderId="0" xfId="0" applyFont="1" applyFill="1" applyAlignment="1" applyProtection="1">
      <alignment horizontal="right" vertical="center"/>
      <protection hidden="1"/>
    </xf>
    <xf numFmtId="0" fontId="1" fillId="9" borderId="21" xfId="0" applyFont="1" applyFill="1" applyBorder="1" applyAlignment="1" applyProtection="1">
      <alignment horizontal="right" vertical="center"/>
      <protection hidden="1"/>
    </xf>
    <xf numFmtId="0" fontId="1" fillId="9" borderId="0" xfId="0" applyFont="1" applyFill="1" applyAlignment="1" applyProtection="1">
      <alignment horizontal="left" vertical="center"/>
      <protection hidden="1"/>
    </xf>
    <xf numFmtId="0" fontId="2" fillId="0" borderId="5"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38" fillId="9" borderId="22" xfId="0" applyFont="1" applyFill="1" applyBorder="1" applyAlignment="1" applyProtection="1">
      <alignment horizontal="center" vertical="center"/>
      <protection hidden="1"/>
    </xf>
    <xf numFmtId="0" fontId="38" fillId="9" borderId="0" xfId="0" applyFont="1" applyFill="1" applyAlignment="1" applyProtection="1">
      <alignment horizontal="center" vertical="center"/>
      <protection hidden="1"/>
    </xf>
    <xf numFmtId="0" fontId="39" fillId="9" borderId="0" xfId="0" applyFont="1" applyFill="1" applyAlignment="1" applyProtection="1">
      <alignment horizontal="center" vertical="center" wrapText="1"/>
      <protection hidden="1"/>
    </xf>
    <xf numFmtId="0" fontId="34" fillId="9" borderId="0" xfId="0" applyFont="1" applyFill="1" applyAlignment="1" applyProtection="1">
      <alignment horizontal="center"/>
      <protection hidden="1"/>
    </xf>
    <xf numFmtId="0" fontId="0" fillId="14" borderId="0" xfId="0" applyFill="1" applyAlignment="1" applyProtection="1">
      <alignment horizontal="center"/>
      <protection hidden="1"/>
    </xf>
    <xf numFmtId="0" fontId="0" fillId="13" borderId="0" xfId="0" applyFill="1" applyAlignment="1" applyProtection="1">
      <alignment horizontal="center"/>
      <protection hidden="1"/>
    </xf>
    <xf numFmtId="0" fontId="0" fillId="13" borderId="11" xfId="0" applyFill="1" applyBorder="1" applyAlignment="1" applyProtection="1">
      <alignment horizontal="center"/>
      <protection hidden="1"/>
    </xf>
    <xf numFmtId="0" fontId="16" fillId="12" borderId="0" xfId="0" applyFont="1" applyFill="1" applyAlignment="1" applyProtection="1">
      <alignment horizontal="center"/>
      <protection hidden="1"/>
    </xf>
    <xf numFmtId="0" fontId="3" fillId="15" borderId="1" xfId="0" applyFont="1" applyFill="1" applyBorder="1" applyAlignment="1" applyProtection="1">
      <alignment horizontal="center"/>
      <protection hidden="1"/>
    </xf>
    <xf numFmtId="0" fontId="2" fillId="15" borderId="1" xfId="0" applyFont="1" applyFill="1" applyBorder="1" applyAlignment="1" applyProtection="1">
      <alignment horizontal="center" vertical="center"/>
      <protection hidden="1"/>
    </xf>
    <xf numFmtId="0" fontId="32" fillId="12" borderId="0" xfId="0" applyFont="1" applyFill="1" applyAlignment="1" applyProtection="1">
      <alignment horizontal="center"/>
      <protection hidden="1"/>
    </xf>
    <xf numFmtId="0" fontId="27" fillId="0" borderId="0" xfId="0" applyFont="1" applyBorder="1" applyAlignment="1" applyProtection="1">
      <alignment horizontal="center" vertical="center"/>
      <protection hidden="1"/>
    </xf>
    <xf numFmtId="0" fontId="0" fillId="0" borderId="0" xfId="0" quotePrefix="1" applyBorder="1" applyAlignment="1" applyProtection="1">
      <alignment horizontal="center"/>
      <protection locked="0"/>
    </xf>
    <xf numFmtId="0" fontId="0" fillId="0" borderId="17" xfId="0" applyBorder="1" applyAlignment="1" applyProtection="1">
      <alignment horizontal="center"/>
      <protection locked="0"/>
    </xf>
    <xf numFmtId="0" fontId="0" fillId="0" borderId="16" xfId="0" quotePrefix="1" applyBorder="1" applyAlignment="1" applyProtection="1">
      <alignment horizontal="center"/>
      <protection hidden="1"/>
    </xf>
    <xf numFmtId="0" fontId="0" fillId="0" borderId="0" xfId="0" applyBorder="1" applyAlignment="1" applyProtection="1">
      <alignment horizontal="center"/>
      <protection hidden="1"/>
    </xf>
    <xf numFmtId="0" fontId="0" fillId="0" borderId="17" xfId="0" applyBorder="1" applyAlignment="1" applyProtection="1">
      <alignment horizontal="center"/>
      <protection hidden="1"/>
    </xf>
    <xf numFmtId="0" fontId="0" fillId="0" borderId="0" xfId="0" applyFont="1" applyBorder="1" applyAlignment="1" applyProtection="1">
      <alignment horizontal="center" vertical="center"/>
      <protection hidden="1"/>
    </xf>
    <xf numFmtId="0" fontId="0" fillId="0" borderId="17" xfId="0" applyFont="1" applyBorder="1" applyAlignment="1" applyProtection="1">
      <alignment horizontal="center" vertical="center"/>
      <protection hidden="1"/>
    </xf>
    <xf numFmtId="0" fontId="29" fillId="0" borderId="0" xfId="0" applyFont="1" applyBorder="1" applyAlignment="1" applyProtection="1">
      <alignment horizontal="center"/>
      <protection hidden="1"/>
    </xf>
    <xf numFmtId="0" fontId="27" fillId="0" borderId="16" xfId="0" applyFont="1" applyBorder="1" applyAlignment="1" applyProtection="1">
      <alignment horizontal="center" vertical="center"/>
      <protection hidden="1"/>
    </xf>
    <xf numFmtId="0" fontId="27" fillId="0" borderId="17" xfId="0" applyFont="1" applyBorder="1" applyAlignment="1" applyProtection="1">
      <alignment horizontal="center" vertical="center"/>
      <protection hidden="1"/>
    </xf>
    <xf numFmtId="0" fontId="27" fillId="0" borderId="16" xfId="0" applyFont="1" applyBorder="1" applyAlignment="1" applyProtection="1">
      <alignment horizontal="left" vertical="center"/>
      <protection hidden="1"/>
    </xf>
    <xf numFmtId="0" fontId="27" fillId="0" borderId="0" xfId="0" applyFont="1" applyBorder="1" applyAlignment="1" applyProtection="1">
      <alignment horizontal="left" vertical="center"/>
      <protection hidden="1"/>
    </xf>
    <xf numFmtId="0" fontId="27" fillId="0" borderId="17" xfId="0" applyFont="1" applyBorder="1" applyAlignment="1" applyProtection="1">
      <alignment horizontal="left" vertical="center"/>
      <protection hidden="1"/>
    </xf>
    <xf numFmtId="0" fontId="27" fillId="0" borderId="0" xfId="0" applyFont="1" applyBorder="1" applyAlignment="1" applyProtection="1">
      <alignment horizontal="right" vertical="top"/>
      <protection hidden="1"/>
    </xf>
    <xf numFmtId="0" fontId="27" fillId="0" borderId="0" xfId="0" applyFont="1" applyBorder="1" applyAlignment="1" applyProtection="1">
      <alignment horizontal="right" vertical="center"/>
      <protection hidden="1"/>
    </xf>
    <xf numFmtId="0" fontId="31" fillId="0" borderId="0" xfId="0" applyFont="1" applyBorder="1" applyAlignment="1" applyProtection="1">
      <alignment horizontal="left" vertical="center" wrapText="1"/>
      <protection hidden="1"/>
    </xf>
    <xf numFmtId="0" fontId="31" fillId="0" borderId="17" xfId="0" applyFont="1" applyBorder="1" applyAlignment="1" applyProtection="1">
      <alignment horizontal="left" vertical="center" wrapText="1"/>
      <protection hidden="1"/>
    </xf>
    <xf numFmtId="0" fontId="2" fillId="0" borderId="0"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0" fillId="0" borderId="0" xfId="0" applyFont="1" applyBorder="1" applyAlignment="1" applyProtection="1">
      <alignment horizontal="center" vertical="center"/>
      <protection hidden="1"/>
    </xf>
    <xf numFmtId="0" fontId="28" fillId="0" borderId="0" xfId="0" applyFont="1" applyBorder="1" applyAlignment="1" applyProtection="1">
      <alignment horizontal="center"/>
      <protection hidden="1"/>
    </xf>
    <xf numFmtId="0" fontId="27" fillId="0" borderId="17" xfId="0" applyFont="1" applyBorder="1" applyAlignment="1" applyProtection="1">
      <alignment horizontal="right" vertical="center"/>
      <protection hidden="1"/>
    </xf>
    <xf numFmtId="0" fontId="30" fillId="0" borderId="0" xfId="0" applyFont="1" applyBorder="1" applyAlignment="1" applyProtection="1">
      <alignment horizontal="left" vertical="center"/>
      <protection hidden="1"/>
    </xf>
    <xf numFmtId="0" fontId="30" fillId="0" borderId="17" xfId="0" applyFont="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167" fontId="25" fillId="16" borderId="0" xfId="0"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protection hidden="1"/>
    </xf>
    <xf numFmtId="0" fontId="0" fillId="16" borderId="0" xfId="0" applyFill="1"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pplyProtection="1">
      <alignment horizontal="left" vertical="center"/>
      <protection hidden="1"/>
    </xf>
    <xf numFmtId="0" fontId="0" fillId="0" borderId="0" xfId="0" applyAlignment="1" applyProtection="1">
      <alignment horizontal="center" vertical="center"/>
      <protection hidden="1"/>
    </xf>
    <xf numFmtId="0" fontId="0" fillId="0" borderId="0" xfId="0" applyAlignment="1" applyProtection="1">
      <alignment horizontal="right" vertical="center"/>
      <protection hidden="1"/>
    </xf>
    <xf numFmtId="0" fontId="0" fillId="0" borderId="0" xfId="0" applyFont="1" applyAlignment="1" applyProtection="1">
      <alignment horizontal="center" vertical="center"/>
      <protection hidden="1"/>
    </xf>
    <xf numFmtId="0" fontId="20" fillId="0" borderId="0" xfId="0" applyFont="1" applyAlignment="1" applyProtection="1">
      <alignment horizontal="center"/>
      <protection hidden="1"/>
    </xf>
    <xf numFmtId="0" fontId="19" fillId="0" borderId="0" xfId="0" applyFont="1" applyAlignment="1" applyProtection="1">
      <alignment horizontal="center" vertical="center"/>
      <protection hidden="1"/>
    </xf>
    <xf numFmtId="0" fontId="0" fillId="16" borderId="0" xfId="0" applyFill="1" applyAlignment="1" applyProtection="1">
      <alignment horizontal="center"/>
      <protection locked="0"/>
    </xf>
    <xf numFmtId="0" fontId="1" fillId="0" borderId="2"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0" xfId="0" applyAlignment="1" applyProtection="1">
      <alignment horizontal="center"/>
      <protection hidden="1"/>
    </xf>
    <xf numFmtId="0" fontId="21" fillId="0" borderId="0" xfId="0" applyFont="1" applyAlignment="1" applyProtection="1">
      <alignment horizontal="center" vertical="center" wrapText="1"/>
      <protection hidden="1"/>
    </xf>
    <xf numFmtId="0" fontId="22" fillId="0" borderId="0" xfId="0" applyFont="1" applyAlignment="1" applyProtection="1">
      <alignment horizontal="left" vertical="center"/>
      <protection hidden="1"/>
    </xf>
    <xf numFmtId="0" fontId="23" fillId="16" borderId="0" xfId="0" applyFont="1" applyFill="1" applyAlignment="1" applyProtection="1">
      <alignment horizontal="left" vertical="center"/>
      <protection locked="0"/>
    </xf>
    <xf numFmtId="167" fontId="25" fillId="16" borderId="0" xfId="0" applyNumberFormat="1" applyFont="1" applyFill="1" applyAlignment="1" applyProtection="1">
      <alignment horizontal="center" vertical="center"/>
      <protection locked="0"/>
    </xf>
    <xf numFmtId="0" fontId="1" fillId="0" borderId="0" xfId="0" applyFont="1" applyAlignment="1" applyProtection="1">
      <alignment horizontal="center"/>
      <protection hidden="1"/>
    </xf>
    <xf numFmtId="0" fontId="24" fillId="0" borderId="0" xfId="0" applyFont="1" applyAlignment="1" applyProtection="1">
      <alignment horizontal="center" vertical="center"/>
      <protection hidden="1"/>
    </xf>
    <xf numFmtId="0" fontId="24" fillId="0" borderId="0" xfId="0" applyFont="1" applyAlignment="1" applyProtection="1">
      <alignment horizontal="left" vertical="center"/>
      <protection hidden="1"/>
    </xf>
    <xf numFmtId="0" fontId="24" fillId="0" borderId="0" xfId="0" applyFont="1" applyAlignment="1" applyProtection="1">
      <alignment horizontal="center"/>
      <protection hidden="1"/>
    </xf>
    <xf numFmtId="0" fontId="26" fillId="0" borderId="0" xfId="0" applyFont="1" applyAlignment="1" applyProtection="1">
      <alignment horizontal="left" vertical="center"/>
      <protection hidden="1"/>
    </xf>
    <xf numFmtId="0" fontId="0" fillId="0" borderId="0" xfId="0" applyAlignment="1" applyProtection="1">
      <alignment horizontal="justify" vertical="justify"/>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16" borderId="0" xfId="0" applyFill="1" applyAlignment="1" applyProtection="1">
      <alignment horizontal="left" vertical="center"/>
      <protection locked="0"/>
    </xf>
    <xf numFmtId="0" fontId="34" fillId="19" borderId="0" xfId="0" applyFont="1" applyFill="1" applyBorder="1" applyAlignment="1" applyProtection="1">
      <alignment horizontal="right"/>
      <protection hidden="1"/>
    </xf>
    <xf numFmtId="0" fontId="34" fillId="19" borderId="27" xfId="0" applyFont="1" applyFill="1" applyBorder="1" applyAlignment="1" applyProtection="1">
      <alignment horizontal="right"/>
      <protection hidden="1"/>
    </xf>
    <xf numFmtId="0" fontId="44" fillId="17" borderId="0" xfId="0" applyFont="1" applyFill="1" applyBorder="1" applyAlignment="1" applyProtection="1">
      <alignment horizontal="center" vertical="center"/>
      <protection hidden="1"/>
    </xf>
    <xf numFmtId="0" fontId="42" fillId="17" borderId="0" xfId="0" applyFont="1" applyFill="1" applyBorder="1" applyAlignment="1" applyProtection="1">
      <alignment horizontal="right" vertical="center"/>
      <protection hidden="1"/>
    </xf>
    <xf numFmtId="0" fontId="67" fillId="12" borderId="0" xfId="0" applyFont="1" applyFill="1" applyBorder="1" applyAlignment="1" applyProtection="1">
      <alignment horizontal="left" vertical="center"/>
      <protection locked="0"/>
    </xf>
    <xf numFmtId="0" fontId="48" fillId="19" borderId="0" xfId="0" applyFont="1" applyFill="1" applyBorder="1" applyAlignment="1" applyProtection="1">
      <alignment horizontal="right"/>
      <protection hidden="1"/>
    </xf>
    <xf numFmtId="0" fontId="3" fillId="0" borderId="4" xfId="0" applyNumberFormat="1" applyFont="1" applyBorder="1" applyAlignment="1" applyProtection="1">
      <alignment horizontal="center" vertical="center" wrapText="1"/>
      <protection locked="0"/>
    </xf>
    <xf numFmtId="169" fontId="52" fillId="17" borderId="0" xfId="0" applyNumberFormat="1" applyFont="1" applyFill="1" applyAlignment="1" applyProtection="1">
      <alignment horizontal="left" vertical="center"/>
      <protection hidden="1"/>
    </xf>
    <xf numFmtId="0" fontId="50" fillId="17" borderId="0" xfId="0" applyFont="1" applyFill="1" applyAlignment="1" applyProtection="1">
      <alignment horizontal="right" vertical="center"/>
      <protection hidden="1"/>
    </xf>
    <xf numFmtId="169" fontId="52" fillId="17" borderId="0" xfId="0" applyNumberFormat="1" applyFont="1" applyFill="1" applyAlignment="1" applyProtection="1">
      <alignment horizontal="center" vertical="center"/>
      <protection hidden="1"/>
    </xf>
    <xf numFmtId="0" fontId="34" fillId="19" borderId="0" xfId="0" applyFont="1" applyFill="1" applyBorder="1" applyAlignment="1" applyProtection="1">
      <alignment horizontal="right" vertical="center"/>
      <protection hidden="1"/>
    </xf>
    <xf numFmtId="0" fontId="69" fillId="19" borderId="0" xfId="0" applyFont="1" applyFill="1" applyBorder="1" applyAlignment="1" applyProtection="1">
      <alignment horizontal="left" vertical="center"/>
      <protection hidden="1"/>
    </xf>
    <xf numFmtId="0" fontId="57" fillId="19" borderId="19" xfId="0" applyFont="1" applyFill="1" applyBorder="1" applyAlignment="1" applyProtection="1">
      <alignment horizontal="center" vertical="center"/>
      <protection hidden="1"/>
    </xf>
    <xf numFmtId="0" fontId="1" fillId="19" borderId="19" xfId="0" applyFont="1" applyFill="1" applyBorder="1" applyAlignment="1" applyProtection="1">
      <alignment horizontal="center"/>
      <protection hidden="1"/>
    </xf>
    <xf numFmtId="0" fontId="38" fillId="19" borderId="16" xfId="0" applyFont="1" applyFill="1" applyBorder="1" applyAlignment="1" applyProtection="1">
      <alignment horizontal="center" vertical="center"/>
      <protection hidden="1"/>
    </xf>
    <xf numFmtId="0" fontId="38" fillId="19" borderId="0" xfId="0" applyFont="1" applyFill="1" applyBorder="1" applyAlignment="1" applyProtection="1">
      <alignment horizontal="center" vertical="center"/>
      <protection hidden="1"/>
    </xf>
    <xf numFmtId="0" fontId="77" fillId="19" borderId="16" xfId="1" applyFont="1" applyFill="1" applyBorder="1" applyAlignment="1" applyProtection="1">
      <alignment horizontal="center" vertical="center"/>
      <protection hidden="1"/>
    </xf>
    <xf numFmtId="0" fontId="3" fillId="19" borderId="0" xfId="0"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wrapText="1"/>
      <protection hidden="1"/>
    </xf>
    <xf numFmtId="0" fontId="1" fillId="0" borderId="24" xfId="0" applyFont="1" applyFill="1" applyBorder="1" applyAlignment="1" applyProtection="1">
      <alignment horizontal="center" vertical="center" wrapText="1"/>
      <protection hidden="1"/>
    </xf>
    <xf numFmtId="0" fontId="1" fillId="0" borderId="25" xfId="0" applyFont="1" applyFill="1" applyBorder="1" applyAlignment="1" applyProtection="1">
      <alignment horizontal="center" vertical="center" wrapText="1"/>
      <protection hidden="1"/>
    </xf>
    <xf numFmtId="0" fontId="31" fillId="18" borderId="1" xfId="0" applyFont="1" applyFill="1" applyBorder="1" applyAlignment="1" applyProtection="1">
      <alignment horizontal="center" vertical="center"/>
      <protection hidden="1"/>
    </xf>
    <xf numFmtId="0" fontId="46" fillId="19" borderId="0" xfId="0" applyFont="1" applyFill="1" applyBorder="1" applyAlignment="1" applyProtection="1">
      <alignment horizontal="center" vertical="center"/>
      <protection hidden="1"/>
    </xf>
    <xf numFmtId="0" fontId="39" fillId="19" borderId="0" xfId="0" applyFont="1" applyFill="1" applyBorder="1" applyAlignment="1" applyProtection="1">
      <alignment horizontal="right"/>
      <protection hidden="1"/>
    </xf>
    <xf numFmtId="168" fontId="2" fillId="0" borderId="26" xfId="0" applyNumberFormat="1" applyFont="1" applyBorder="1" applyAlignment="1" applyProtection="1">
      <alignment horizontal="center" vertical="center" wrapText="1"/>
      <protection locked="0"/>
    </xf>
    <xf numFmtId="0" fontId="37" fillId="19" borderId="0" xfId="0" applyFont="1" applyFill="1" applyBorder="1" applyAlignment="1" applyProtection="1">
      <alignment horizontal="right"/>
      <protection hidden="1"/>
    </xf>
    <xf numFmtId="0" fontId="59" fillId="17" borderId="0" xfId="0" applyFont="1" applyFill="1" applyBorder="1" applyAlignment="1" applyProtection="1">
      <alignment horizontal="center" vertical="center"/>
      <protection hidden="1"/>
    </xf>
    <xf numFmtId="0" fontId="31" fillId="0" borderId="2" xfId="0" applyFont="1" applyFill="1" applyBorder="1" applyAlignment="1" applyProtection="1">
      <alignment horizontal="center" vertical="center"/>
      <protection hidden="1"/>
    </xf>
    <xf numFmtId="0" fontId="31" fillId="0" borderId="3" xfId="0" applyFont="1" applyFill="1" applyBorder="1" applyAlignment="1" applyProtection="1">
      <alignment horizontal="center" vertical="center"/>
      <protection hidden="1"/>
    </xf>
    <xf numFmtId="0" fontId="31" fillId="0" borderId="12" xfId="0" applyFont="1" applyFill="1" applyBorder="1" applyAlignment="1" applyProtection="1">
      <alignment horizontal="center" vertical="center"/>
      <protection hidden="1"/>
    </xf>
    <xf numFmtId="0" fontId="25" fillId="17"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2" fillId="0" borderId="12" xfId="0" applyFont="1" applyFill="1" applyBorder="1" applyAlignment="1" applyProtection="1">
      <alignment horizontal="center" vertical="center"/>
      <protection hidden="1"/>
    </xf>
    <xf numFmtId="0" fontId="51" fillId="17" borderId="0" xfId="0" applyFont="1" applyFill="1" applyAlignment="1" applyProtection="1">
      <alignment horizontal="center" vertical="center"/>
      <protection hidden="1"/>
    </xf>
    <xf numFmtId="0" fontId="59" fillId="17" borderId="0" xfId="0" applyFont="1" applyFill="1" applyBorder="1" applyAlignment="1" applyProtection="1">
      <alignment horizontal="left" vertical="center"/>
      <protection hidden="1"/>
    </xf>
    <xf numFmtId="0" fontId="31" fillId="0" borderId="23" xfId="0" applyFont="1" applyFill="1" applyBorder="1" applyAlignment="1" applyProtection="1">
      <alignment horizontal="center" vertical="center" wrapText="1"/>
      <protection hidden="1"/>
    </xf>
    <xf numFmtId="0" fontId="31" fillId="0" borderId="24" xfId="0" applyFont="1" applyFill="1" applyBorder="1" applyAlignment="1" applyProtection="1">
      <alignment horizontal="center" vertical="center" wrapText="1"/>
      <protection hidden="1"/>
    </xf>
    <xf numFmtId="0" fontId="31" fillId="0" borderId="25" xfId="0" applyFont="1" applyFill="1" applyBorder="1" applyAlignment="1" applyProtection="1">
      <alignment horizontal="center" vertical="center" wrapText="1"/>
      <protection hidden="1"/>
    </xf>
    <xf numFmtId="0" fontId="31" fillId="0" borderId="23" xfId="0" applyFont="1" applyFill="1" applyBorder="1" applyAlignment="1" applyProtection="1">
      <alignment horizontal="center" vertical="center"/>
      <protection hidden="1"/>
    </xf>
    <xf numFmtId="0" fontId="31" fillId="0" borderId="25"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wrapText="1"/>
      <protection hidden="1"/>
    </xf>
    <xf numFmtId="0" fontId="2" fillId="0" borderId="24" xfId="0" applyFont="1" applyFill="1" applyBorder="1" applyAlignment="1" applyProtection="1">
      <alignment horizontal="center" vertical="center" wrapText="1"/>
      <protection hidden="1"/>
    </xf>
    <xf numFmtId="0" fontId="2" fillId="0" borderId="25" xfId="0" applyFont="1" applyFill="1" applyBorder="1" applyAlignment="1" applyProtection="1">
      <alignment horizontal="center" vertical="center" wrapText="1"/>
      <protection hidden="1"/>
    </xf>
    <xf numFmtId="0" fontId="54" fillId="0" borderId="23" xfId="0" applyFont="1" applyFill="1" applyBorder="1" applyAlignment="1" applyProtection="1">
      <alignment horizontal="center" vertical="center" wrapText="1"/>
      <protection hidden="1"/>
    </xf>
    <xf numFmtId="0" fontId="54" fillId="0" borderId="24" xfId="0" applyFont="1" applyFill="1" applyBorder="1" applyAlignment="1" applyProtection="1">
      <alignment horizontal="center" vertical="center" wrapText="1"/>
      <protection hidden="1"/>
    </xf>
    <xf numFmtId="0" fontId="54" fillId="0" borderId="25" xfId="0" applyFont="1" applyFill="1" applyBorder="1" applyAlignment="1" applyProtection="1">
      <alignment horizontal="center" vertical="center" wrapText="1"/>
      <protection hidden="1"/>
    </xf>
    <xf numFmtId="0" fontId="1" fillId="0" borderId="2"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55" fillId="0" borderId="0" xfId="0" applyFont="1" applyAlignment="1" applyProtection="1">
      <alignment horizontal="left" vertical="center"/>
      <protection hidden="1"/>
    </xf>
    <xf numFmtId="0" fontId="61" fillId="0" borderId="0" xfId="0" applyFont="1" applyAlignment="1" applyProtection="1">
      <alignment horizontal="center"/>
      <protection hidden="1"/>
    </xf>
    <xf numFmtId="0" fontId="61" fillId="0" borderId="0" xfId="0" applyFont="1" applyAlignment="1" applyProtection="1">
      <alignment horizontal="center" wrapText="1"/>
      <protection hidden="1"/>
    </xf>
    <xf numFmtId="0" fontId="0" fillId="0" borderId="0" xfId="0" applyAlignment="1" applyProtection="1">
      <alignment horizontal="center"/>
      <protection locked="0"/>
    </xf>
    <xf numFmtId="0" fontId="60" fillId="0" borderId="0" xfId="0" applyFont="1" applyAlignment="1" applyProtection="1">
      <alignment horizontal="right" vertical="center"/>
      <protection hidden="1"/>
    </xf>
    <xf numFmtId="0" fontId="1" fillId="0" borderId="1" xfId="0" applyFont="1" applyBorder="1" applyAlignment="1" applyProtection="1">
      <alignment horizontal="center" vertical="center"/>
      <protection hidden="1"/>
    </xf>
    <xf numFmtId="0" fontId="0" fillId="0" borderId="12" xfId="0" applyBorder="1" applyAlignment="1">
      <alignment horizontal="center" vertical="center"/>
    </xf>
    <xf numFmtId="0" fontId="2" fillId="0" borderId="1" xfId="0" applyFont="1" applyBorder="1" applyAlignment="1" applyProtection="1">
      <alignment horizontal="center" vertical="center"/>
      <protection hidden="1"/>
    </xf>
    <xf numFmtId="0" fontId="36" fillId="0" borderId="1" xfId="0" applyFont="1" applyBorder="1" applyAlignment="1" applyProtection="1">
      <alignment horizontal="center" vertical="center"/>
      <protection hidden="1"/>
    </xf>
    <xf numFmtId="0" fontId="38" fillId="0" borderId="1" xfId="0" applyFont="1" applyBorder="1" applyAlignment="1" applyProtection="1">
      <alignment horizontal="center" vertical="center"/>
      <protection hidden="1"/>
    </xf>
    <xf numFmtId="0" fontId="56" fillId="0" borderId="1" xfId="0" applyFont="1" applyBorder="1" applyAlignment="1" applyProtection="1">
      <alignment horizontal="center" vertical="center"/>
      <protection hidden="1"/>
    </xf>
    <xf numFmtId="0" fontId="27"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62" fillId="12" borderId="0" xfId="0" applyFont="1" applyFill="1" applyAlignment="1" applyProtection="1">
      <alignment horizontal="center"/>
      <protection locked="0"/>
    </xf>
    <xf numFmtId="167" fontId="0" fillId="0" borderId="0" xfId="0" applyNumberFormat="1" applyAlignment="1" applyProtection="1">
      <alignment horizontal="center"/>
      <protection locked="0"/>
    </xf>
    <xf numFmtId="0" fontId="2" fillId="0" borderId="0" xfId="0" applyFont="1" applyAlignment="1" applyProtection="1">
      <alignment horizontal="left" vertical="top"/>
      <protection hidden="1"/>
    </xf>
    <xf numFmtId="0" fontId="29" fillId="0" borderId="0" xfId="0" applyFont="1" applyAlignment="1" applyProtection="1">
      <alignment horizontal="left" vertical="center"/>
      <protection hidden="1"/>
    </xf>
    <xf numFmtId="0" fontId="79" fillId="17" borderId="0" xfId="0" applyFont="1" applyFill="1" applyAlignment="1" applyProtection="1">
      <alignment horizontal="center" vertical="center"/>
      <protection hidden="1"/>
    </xf>
    <xf numFmtId="0" fontId="81" fillId="17" borderId="0" xfId="0" applyFont="1" applyFill="1" applyBorder="1" applyAlignment="1" applyProtection="1">
      <alignment horizontal="left" vertical="center"/>
      <protection hidden="1"/>
    </xf>
    <xf numFmtId="0" fontId="81" fillId="17" borderId="0" xfId="0" applyFont="1" applyFill="1" applyBorder="1" applyAlignment="1" applyProtection="1">
      <alignment horizontal="center" vertical="center"/>
      <protection hidden="1"/>
    </xf>
    <xf numFmtId="0" fontId="37" fillId="0" borderId="0" xfId="0" applyFont="1" applyFill="1" applyBorder="1" applyAlignment="1" applyProtection="1">
      <alignment horizontal="left" vertical="top" wrapText="1"/>
      <protection locked="0"/>
    </xf>
  </cellXfs>
  <cellStyles count="2">
    <cellStyle name="Hyperlink" xfId="1" builtinId="8"/>
    <cellStyle name="Normal" xfId="0" builtinId="0"/>
  </cellStyles>
  <dxfs count="11">
    <dxf>
      <font>
        <b/>
        <i val="0"/>
        <color rgb="FF0000CC"/>
      </font>
      <fill>
        <patternFill>
          <bgColor rgb="FF00B050"/>
        </patternFill>
      </fill>
    </dxf>
    <dxf>
      <font>
        <b/>
        <i val="0"/>
        <color rgb="FF0000CC"/>
      </font>
      <fill>
        <patternFill>
          <bgColor rgb="FF00B050"/>
        </patternFill>
      </fill>
    </dxf>
    <dxf>
      <font>
        <color rgb="FFCCFF99"/>
      </font>
      <fill>
        <patternFill>
          <bgColor rgb="FFCCFF99"/>
        </patternFill>
      </fill>
      <border>
        <left/>
        <right/>
        <top/>
        <bottom/>
      </border>
    </dxf>
    <dxf>
      <font>
        <color rgb="FFCCFF99"/>
      </font>
      <fill>
        <patternFill>
          <bgColor rgb="FFCCFF99"/>
        </patternFill>
      </fill>
      <border>
        <left/>
        <right/>
        <top/>
        <bottom/>
      </border>
    </dxf>
    <dxf>
      <font>
        <color rgb="FF66FF66"/>
      </font>
      <fill>
        <patternFill>
          <bgColor rgb="FF66FF66"/>
        </patternFill>
      </fill>
    </dxf>
    <dxf>
      <font>
        <color rgb="FF66FF66"/>
      </font>
      <fill>
        <patternFill>
          <bgColor rgb="FF66FF66"/>
        </patternFill>
      </fill>
    </dxf>
    <dxf>
      <font>
        <color rgb="FF66FF66"/>
      </font>
      <fill>
        <patternFill>
          <bgColor rgb="FF66FF66"/>
        </patternFill>
      </fill>
    </dxf>
    <dxf>
      <font>
        <color rgb="FF66FF66"/>
      </font>
      <fill>
        <patternFill>
          <bgColor rgb="FF66FF66"/>
        </patternFill>
      </fill>
    </dxf>
    <dxf>
      <font>
        <color rgb="FF66FF66"/>
      </font>
      <fill>
        <patternFill>
          <bgColor rgb="FF66FF66"/>
        </patternFill>
      </fill>
    </dxf>
    <dxf>
      <font>
        <color rgb="FF66FF66"/>
      </font>
      <fill>
        <patternFill>
          <bgColor rgb="FF66FF66"/>
        </patternFill>
      </fill>
    </dxf>
    <dxf>
      <font>
        <color rgb="FF66FF66"/>
      </font>
      <fill>
        <patternFill>
          <bgColor rgb="FF66FF66"/>
        </patternFill>
      </fill>
    </dxf>
  </dxfs>
  <tableStyles count="0" defaultTableStyle="TableStyleMedium9" defaultPivotStyle="PivotStyleLight16"/>
  <colors>
    <mruColors>
      <color rgb="FFCC00CC"/>
      <color rgb="FF0000CC"/>
      <color rgb="FF00FF00"/>
      <color rgb="FF99FF33"/>
      <color rgb="FF66FF66"/>
      <color rgb="FFCCFF99"/>
      <color rgb="FF66FF33"/>
      <color rgb="FF33CC3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962025</xdr:colOff>
      <xdr:row>37</xdr:row>
      <xdr:rowOff>123825</xdr:rowOff>
    </xdr:from>
    <xdr:to>
      <xdr:col>2</xdr:col>
      <xdr:colOff>2266950</xdr:colOff>
      <xdr:row>42</xdr:row>
      <xdr:rowOff>152400</xdr:rowOff>
    </xdr:to>
    <xdr:pic>
      <xdr:nvPicPr>
        <xdr:cNvPr id="4" name="Picture 3" descr="WhatsApp Image 2021-09-09 at 5.56.17 AM.jpeg"/>
        <xdr:cNvPicPr>
          <a:picLocks noChangeAspect="1"/>
        </xdr:cNvPicPr>
      </xdr:nvPicPr>
      <xdr:blipFill>
        <a:blip xmlns:r="http://schemas.openxmlformats.org/officeDocument/2006/relationships" r:embed="rId1" cstate="print"/>
        <a:stretch>
          <a:fillRect/>
        </a:stretch>
      </xdr:blipFill>
      <xdr:spPr>
        <a:xfrm>
          <a:off x="1514475" y="8343900"/>
          <a:ext cx="1304925" cy="1409700"/>
        </a:xfrm>
        <a:prstGeom prst="rect">
          <a:avLst/>
        </a:prstGeom>
        <a:ln>
          <a:noFill/>
        </a:ln>
        <a:effectLst>
          <a:softEdge rad="112500"/>
        </a:effectLst>
      </xdr:spPr>
    </xdr:pic>
    <xdr:clientData/>
  </xdr:twoCellAnchor>
  <xdr:twoCellAnchor editAs="oneCell">
    <xdr:from>
      <xdr:col>13</xdr:col>
      <xdr:colOff>790575</xdr:colOff>
      <xdr:row>37</xdr:row>
      <xdr:rowOff>57150</xdr:rowOff>
    </xdr:from>
    <xdr:to>
      <xdr:col>15</xdr:col>
      <xdr:colOff>771525</xdr:colOff>
      <xdr:row>42</xdr:row>
      <xdr:rowOff>219075</xdr:rowOff>
    </xdr:to>
    <xdr:pic>
      <xdr:nvPicPr>
        <xdr:cNvPr id="5" name="Picture 4" descr="hlj 21-11-21.png"/>
        <xdr:cNvPicPr>
          <a:picLocks noChangeAspect="1"/>
        </xdr:cNvPicPr>
      </xdr:nvPicPr>
      <xdr:blipFill>
        <a:blip xmlns:r="http://schemas.openxmlformats.org/officeDocument/2006/relationships" r:embed="rId2"/>
        <a:stretch>
          <a:fillRect/>
        </a:stretch>
      </xdr:blipFill>
      <xdr:spPr>
        <a:xfrm>
          <a:off x="9982200" y="8277225"/>
          <a:ext cx="1447800" cy="15430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161925</xdr:colOff>
      <xdr:row>0</xdr:row>
      <xdr:rowOff>66676</xdr:rowOff>
    </xdr:from>
    <xdr:to>
      <xdr:col>26</xdr:col>
      <xdr:colOff>190500</xdr:colOff>
      <xdr:row>7</xdr:row>
      <xdr:rowOff>28576</xdr:rowOff>
    </xdr:to>
    <xdr:pic>
      <xdr:nvPicPr>
        <xdr:cNvPr id="2" name="Picture 1" descr="WhatsApp Image 2021-09-09 at 5.56.17 AM.jpeg"/>
        <xdr:cNvPicPr>
          <a:picLocks noChangeAspect="1"/>
        </xdr:cNvPicPr>
      </xdr:nvPicPr>
      <xdr:blipFill>
        <a:blip xmlns:r="http://schemas.openxmlformats.org/officeDocument/2006/relationships" r:embed="rId1" cstate="print"/>
        <a:stretch>
          <a:fillRect/>
        </a:stretch>
      </xdr:blipFill>
      <xdr:spPr>
        <a:xfrm>
          <a:off x="11963400" y="66676"/>
          <a:ext cx="1343025" cy="1276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youtu.be/CTO9jlCJH9U" TargetMode="External"/><Relationship Id="rId1" Type="http://schemas.openxmlformats.org/officeDocument/2006/relationships/hyperlink" Target="mailto:heeralaljatchandawal@g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hyperlink" Target="https://youtu.be/CTO9jlCJH9U"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CC00CC"/>
  </sheetPr>
  <dimension ref="A1:AO50"/>
  <sheetViews>
    <sheetView showGridLines="0" showRowColHeaders="0" tabSelected="1" workbookViewId="0">
      <selection activeCell="N19" sqref="N19"/>
    </sheetView>
  </sheetViews>
  <sheetFormatPr defaultColWidth="0" defaultRowHeight="15" zeroHeight="1"/>
  <cols>
    <col min="1" max="1" width="3.625" style="5" customWidth="1"/>
    <col min="2" max="2" width="4.5" style="5" customWidth="1"/>
    <col min="3" max="3" width="43.25" style="17" customWidth="1"/>
    <col min="4" max="4" width="3.625" style="17" customWidth="1"/>
    <col min="5" max="5" width="7.5" style="5" customWidth="1"/>
    <col min="6" max="6" width="3.625" style="5" customWidth="1"/>
    <col min="7" max="7" width="7.25" style="5" customWidth="1"/>
    <col min="8" max="8" width="3.625" style="5" customWidth="1"/>
    <col min="9" max="9" width="11.75" style="5" customWidth="1"/>
    <col min="10" max="10" width="3.625" style="5" customWidth="1"/>
    <col min="11" max="11" width="12.75" style="5" customWidth="1"/>
    <col min="12" max="12" width="3.625" style="5" customWidth="1"/>
    <col min="13" max="13" width="12.75" style="17" customWidth="1"/>
    <col min="14" max="14" width="15.625" style="5" customWidth="1"/>
    <col min="15" max="15" width="3.625" style="5" customWidth="1"/>
    <col min="16" max="16" width="12.25" style="18" customWidth="1"/>
    <col min="17" max="17" width="10" style="18" customWidth="1"/>
    <col min="18" max="18" width="6.5" style="5" customWidth="1"/>
    <col min="19" max="19" width="3.625" style="5" customWidth="1"/>
    <col min="20" max="20" width="9" style="5" customWidth="1"/>
    <col min="21" max="21" width="9" style="5" hidden="1" customWidth="1"/>
    <col min="22" max="41" width="0" style="5" hidden="1" customWidth="1"/>
    <col min="42" max="16384" width="9" style="5" hidden="1"/>
  </cols>
  <sheetData>
    <row r="1" spans="1:23">
      <c r="A1" s="1"/>
      <c r="B1" s="2"/>
      <c r="C1" s="3"/>
      <c r="D1" s="3"/>
      <c r="E1" s="2"/>
      <c r="F1" s="2"/>
      <c r="G1" s="2"/>
      <c r="H1" s="2"/>
      <c r="I1" s="2"/>
      <c r="J1" s="2"/>
      <c r="K1" s="2"/>
      <c r="L1" s="2"/>
      <c r="M1" s="3"/>
      <c r="N1" s="2"/>
      <c r="O1" s="2"/>
      <c r="P1" s="4"/>
      <c r="Q1" s="4"/>
      <c r="R1" s="2"/>
      <c r="S1" s="1"/>
    </row>
    <row r="2" spans="1:23" ht="12" customHeight="1">
      <c r="A2" s="6"/>
      <c r="B2" s="1"/>
      <c r="C2" s="1"/>
      <c r="D2" s="1"/>
      <c r="E2" s="1"/>
      <c r="F2" s="1"/>
      <c r="G2" s="1"/>
      <c r="H2" s="1"/>
      <c r="I2" s="1"/>
      <c r="J2" s="1"/>
      <c r="K2" s="1"/>
      <c r="L2" s="1"/>
      <c r="M2" s="1"/>
      <c r="N2" s="1"/>
      <c r="O2" s="1"/>
      <c r="P2" s="1"/>
      <c r="Q2" s="1"/>
      <c r="R2" s="1"/>
      <c r="S2" s="6"/>
    </row>
    <row r="3" spans="1:23" ht="27.75" customHeight="1">
      <c r="A3" s="6"/>
      <c r="B3" s="7"/>
      <c r="C3" s="7"/>
      <c r="D3" s="7"/>
      <c r="E3" s="187" t="s">
        <v>8</v>
      </c>
      <c r="F3" s="187"/>
      <c r="G3" s="187"/>
      <c r="H3" s="187"/>
      <c r="I3" s="187"/>
      <c r="J3" s="187"/>
      <c r="K3" s="187"/>
      <c r="L3" s="187"/>
      <c r="M3" s="187"/>
      <c r="N3" s="21"/>
      <c r="O3" s="1"/>
      <c r="P3" s="8"/>
      <c r="Q3" s="8"/>
      <c r="R3" s="1"/>
      <c r="S3" s="6"/>
    </row>
    <row r="4" spans="1:23" ht="12" customHeight="1">
      <c r="A4" s="6"/>
      <c r="B4" s="7"/>
      <c r="C4" s="7"/>
      <c r="D4" s="7"/>
      <c r="E4" s="1"/>
      <c r="F4" s="1"/>
      <c r="G4" s="1"/>
      <c r="H4" s="1"/>
      <c r="I4" s="1"/>
      <c r="J4" s="1"/>
      <c r="K4" s="1"/>
      <c r="L4" s="1"/>
      <c r="M4" s="7"/>
      <c r="N4" s="1"/>
      <c r="O4" s="1"/>
      <c r="P4" s="8"/>
      <c r="Q4" s="8"/>
      <c r="R4" s="1"/>
      <c r="S4" s="6"/>
    </row>
    <row r="5" spans="1:23" ht="21.95" customHeight="1">
      <c r="A5" s="6"/>
      <c r="B5" s="7"/>
      <c r="C5" s="9" t="s">
        <v>68</v>
      </c>
      <c r="D5" s="189" t="s">
        <v>70</v>
      </c>
      <c r="E5" s="189"/>
      <c r="F5" s="189"/>
      <c r="G5" s="189"/>
      <c r="H5" s="189"/>
      <c r="I5" s="189"/>
      <c r="J5" s="189"/>
      <c r="K5" s="189"/>
      <c r="L5" s="189"/>
      <c r="M5" s="189"/>
      <c r="N5" s="189"/>
      <c r="O5" s="189"/>
      <c r="P5" s="189"/>
      <c r="Q5" s="189"/>
      <c r="R5" s="10"/>
      <c r="S5" s="6"/>
    </row>
    <row r="6" spans="1:23" ht="6.95" customHeight="1">
      <c r="A6" s="6"/>
      <c r="B6" s="7"/>
      <c r="C6" s="11"/>
      <c r="D6" s="7"/>
      <c r="E6" s="1"/>
      <c r="F6" s="1"/>
      <c r="G6" s="1"/>
      <c r="H6" s="1"/>
      <c r="I6" s="1"/>
      <c r="J6" s="1"/>
      <c r="K6" s="1"/>
      <c r="L6" s="1"/>
      <c r="M6" s="11"/>
      <c r="N6" s="1"/>
      <c r="O6" s="1"/>
      <c r="P6" s="8"/>
      <c r="Q6" s="8"/>
      <c r="R6" s="1"/>
      <c r="S6" s="6"/>
    </row>
    <row r="7" spans="1:23" ht="21.95" customHeight="1">
      <c r="A7" s="6"/>
      <c r="B7" s="7"/>
      <c r="C7" s="9" t="s">
        <v>69</v>
      </c>
      <c r="D7" s="189" t="s">
        <v>71</v>
      </c>
      <c r="E7" s="189"/>
      <c r="F7" s="189"/>
      <c r="G7" s="189"/>
      <c r="H7" s="189"/>
      <c r="I7" s="189"/>
      <c r="J7" s="189"/>
      <c r="K7" s="189"/>
      <c r="L7" s="189"/>
      <c r="M7" s="189"/>
      <c r="N7" s="189"/>
      <c r="O7" s="189"/>
      <c r="P7" s="189"/>
      <c r="Q7" s="189"/>
      <c r="R7" s="10"/>
      <c r="S7" s="6"/>
    </row>
    <row r="8" spans="1:23" ht="9.9499999999999993" customHeight="1">
      <c r="A8" s="6"/>
      <c r="B8" s="7"/>
      <c r="C8" s="11"/>
      <c r="D8" s="7"/>
      <c r="E8" s="1"/>
      <c r="F8" s="1"/>
      <c r="G8" s="1"/>
      <c r="H8" s="1"/>
      <c r="I8" s="1"/>
      <c r="J8" s="1"/>
      <c r="K8" s="1"/>
      <c r="L8" s="1"/>
      <c r="M8" s="11"/>
      <c r="N8" s="1"/>
      <c r="O8" s="1"/>
      <c r="P8" s="8"/>
      <c r="Q8" s="8"/>
      <c r="R8" s="1"/>
      <c r="S8" s="6"/>
    </row>
    <row r="9" spans="1:23" ht="21.95" customHeight="1">
      <c r="A9" s="6"/>
      <c r="B9" s="7"/>
      <c r="C9" s="9" t="s">
        <v>147</v>
      </c>
      <c r="D9" s="184" t="s">
        <v>150</v>
      </c>
      <c r="E9" s="184"/>
      <c r="F9" s="184"/>
      <c r="G9" s="184"/>
      <c r="H9" s="184"/>
      <c r="I9" s="184"/>
      <c r="J9" s="1"/>
      <c r="K9" s="185" t="s">
        <v>148</v>
      </c>
      <c r="L9" s="185"/>
      <c r="M9" s="185"/>
      <c r="N9" s="109" t="s">
        <v>94</v>
      </c>
      <c r="O9" s="1"/>
      <c r="P9" s="108" t="s">
        <v>149</v>
      </c>
      <c r="Q9" s="26">
        <v>11111</v>
      </c>
      <c r="R9" s="1"/>
      <c r="S9" s="6"/>
    </row>
    <row r="10" spans="1:23" ht="9.9499999999999993" customHeight="1">
      <c r="A10" s="6"/>
      <c r="B10" s="7"/>
      <c r="C10" s="11"/>
      <c r="D10" s="7"/>
      <c r="E10" s="1"/>
      <c r="F10" s="1"/>
      <c r="G10" s="1"/>
      <c r="H10" s="1"/>
      <c r="I10" s="1"/>
      <c r="J10" s="1"/>
      <c r="K10" s="1"/>
      <c r="L10" s="1"/>
      <c r="M10" s="11"/>
      <c r="N10" s="1"/>
      <c r="O10" s="1"/>
      <c r="P10" s="8"/>
      <c r="Q10" s="8"/>
      <c r="R10" s="1"/>
      <c r="S10" s="6"/>
    </row>
    <row r="11" spans="1:23" ht="21.95" customHeight="1">
      <c r="A11" s="6"/>
      <c r="B11" s="7"/>
      <c r="C11" s="9" t="s">
        <v>0</v>
      </c>
      <c r="D11" s="184" t="s">
        <v>23</v>
      </c>
      <c r="E11" s="184"/>
      <c r="F11" s="184"/>
      <c r="G11" s="184"/>
      <c r="H11" s="184"/>
      <c r="I11" s="184"/>
      <c r="J11" s="1"/>
      <c r="K11" s="185" t="s">
        <v>9</v>
      </c>
      <c r="L11" s="185"/>
      <c r="M11" s="185"/>
      <c r="N11" s="29" t="s">
        <v>24</v>
      </c>
      <c r="O11" s="1"/>
      <c r="P11" s="13" t="s">
        <v>7</v>
      </c>
      <c r="Q11" s="22">
        <v>11</v>
      </c>
      <c r="R11" s="1"/>
      <c r="S11" s="6"/>
    </row>
    <row r="12" spans="1:23" ht="15.75">
      <c r="A12" s="6"/>
      <c r="B12" s="7"/>
      <c r="C12" s="11"/>
      <c r="D12" s="7"/>
      <c r="E12" s="27" t="s">
        <v>18</v>
      </c>
      <c r="F12" s="27"/>
      <c r="G12" s="27" t="s">
        <v>19</v>
      </c>
      <c r="H12" s="27"/>
      <c r="I12" s="27" t="s">
        <v>20</v>
      </c>
      <c r="J12" s="1"/>
      <c r="K12" s="1"/>
      <c r="L12" s="1"/>
      <c r="M12" s="11"/>
      <c r="N12" s="30"/>
      <c r="O12" s="1"/>
      <c r="P12" s="8"/>
      <c r="Q12" s="8"/>
      <c r="R12" s="1"/>
      <c r="S12" s="6"/>
    </row>
    <row r="13" spans="1:23" ht="21.95" customHeight="1">
      <c r="A13" s="6"/>
      <c r="B13" s="7"/>
      <c r="C13" s="9" t="s">
        <v>1</v>
      </c>
      <c r="D13" s="7"/>
      <c r="E13" s="25">
        <v>1</v>
      </c>
      <c r="F13" s="1"/>
      <c r="G13" s="25">
        <v>1</v>
      </c>
      <c r="H13" s="1"/>
      <c r="I13" s="26">
        <v>2006</v>
      </c>
      <c r="J13" s="1"/>
      <c r="K13" s="185" t="s">
        <v>10</v>
      </c>
      <c r="L13" s="185"/>
      <c r="M13" s="185"/>
      <c r="N13" s="29" t="s">
        <v>25</v>
      </c>
      <c r="O13" s="1"/>
      <c r="P13" s="13" t="s">
        <v>7</v>
      </c>
      <c r="Q13" s="169">
        <v>10</v>
      </c>
      <c r="R13" s="1"/>
      <c r="S13" s="6"/>
    </row>
    <row r="14" spans="1:23" ht="15.75">
      <c r="A14" s="6"/>
      <c r="B14" s="7"/>
      <c r="C14" s="11"/>
      <c r="D14" s="7"/>
      <c r="E14" s="27" t="s">
        <v>18</v>
      </c>
      <c r="F14" s="27"/>
      <c r="G14" s="27" t="s">
        <v>19</v>
      </c>
      <c r="H14" s="27"/>
      <c r="I14" s="27" t="s">
        <v>20</v>
      </c>
      <c r="J14" s="1"/>
      <c r="K14" s="32"/>
      <c r="L14" s="32"/>
      <c r="M14" s="11"/>
      <c r="N14" s="30"/>
      <c r="O14" s="1"/>
      <c r="P14" s="8"/>
      <c r="Q14" s="8"/>
      <c r="R14" s="1"/>
      <c r="S14" s="6"/>
    </row>
    <row r="15" spans="1:23" ht="21.95" customHeight="1">
      <c r="A15" s="6"/>
      <c r="B15" s="7"/>
      <c r="C15" s="9" t="s">
        <v>2</v>
      </c>
      <c r="D15" s="7"/>
      <c r="E15" s="25">
        <v>1</v>
      </c>
      <c r="F15" s="1"/>
      <c r="G15" s="25">
        <v>1</v>
      </c>
      <c r="H15" s="1"/>
      <c r="I15" s="26">
        <v>2015</v>
      </c>
      <c r="J15" s="1"/>
      <c r="K15" s="185" t="s">
        <v>11</v>
      </c>
      <c r="L15" s="185"/>
      <c r="M15" s="185"/>
      <c r="N15" s="167" t="s">
        <v>28</v>
      </c>
      <c r="O15" s="19">
        <f>COUNTA(E15,G15,I15,N15,Q15)</f>
        <v>5</v>
      </c>
      <c r="P15" s="13" t="s">
        <v>7</v>
      </c>
      <c r="Q15" s="22">
        <v>11</v>
      </c>
      <c r="R15" s="23" t="str">
        <f>IF(O15&gt;4,"þ","ý")</f>
        <v>þ</v>
      </c>
      <c r="S15" s="6"/>
      <c r="V15" s="5">
        <f>IF(Q13=10,11,IF(Q13=11,12,IF(Q13=12,13,IF(Q13=14,15,IF(Q13=8,10,IF(Q13=5,8,IF(Q13=1,2,"")))))))</f>
        <v>11</v>
      </c>
      <c r="W15" s="5">
        <f>IF(Q13=10,11,IF(Q13=11,12,IF(Q13=12,14,IF(Q13=14,16,IF(Q13=8,10,IF(Q13=5,8,IF(Q13=1,2,"")))))))</f>
        <v>11</v>
      </c>
    </row>
    <row r="16" spans="1:23" ht="15.75">
      <c r="A16" s="6"/>
      <c r="B16" s="7"/>
      <c r="C16" s="11"/>
      <c r="D16" s="7"/>
      <c r="E16" s="27" t="s">
        <v>18</v>
      </c>
      <c r="F16" s="27"/>
      <c r="G16" s="27" t="s">
        <v>19</v>
      </c>
      <c r="H16" s="27"/>
      <c r="I16" s="27" t="s">
        <v>20</v>
      </c>
      <c r="J16" s="1"/>
      <c r="K16" s="32"/>
      <c r="L16" s="32"/>
      <c r="M16" s="11"/>
      <c r="N16" s="30"/>
      <c r="O16" s="1"/>
      <c r="P16" s="14"/>
      <c r="Q16" s="14"/>
      <c r="R16" s="24"/>
      <c r="S16" s="6"/>
      <c r="V16" s="5">
        <f>IF(V15=11,12,IF(V15=12,13,IF(V15=13,15,IF(V15=15,16,IF(V15=10,11,IF(V15=8,10,IF(V15=2,3,"")))))))</f>
        <v>12</v>
      </c>
      <c r="W16" s="5">
        <f>IF(W15=11,12,IF(W15=12,14,IF(W15=14,16,IF(W15=16,17,IF(W15=10,11,IF(W15=8,10,IF(W15=2,3,"")))))))</f>
        <v>12</v>
      </c>
    </row>
    <row r="17" spans="1:41" ht="21.95" customHeight="1">
      <c r="A17" s="6"/>
      <c r="B17" s="7"/>
      <c r="C17" s="9" t="s">
        <v>3</v>
      </c>
      <c r="D17" s="7"/>
      <c r="E17" s="25">
        <v>1</v>
      </c>
      <c r="F17" s="1"/>
      <c r="G17" s="25">
        <v>1</v>
      </c>
      <c r="H17" s="1"/>
      <c r="I17" s="26">
        <v>2024</v>
      </c>
      <c r="J17" s="1"/>
      <c r="K17" s="185" t="s">
        <v>12</v>
      </c>
      <c r="L17" s="185"/>
      <c r="M17" s="185"/>
      <c r="N17" s="167" t="s">
        <v>28</v>
      </c>
      <c r="O17" s="19">
        <f>COUNTA(E17,G17,I17,N17,Q17)</f>
        <v>5</v>
      </c>
      <c r="P17" s="13" t="s">
        <v>7</v>
      </c>
      <c r="Q17" s="22">
        <v>12</v>
      </c>
      <c r="R17" s="23" t="str">
        <f>IF(O17&gt;4,"þ","ý")</f>
        <v>þ</v>
      </c>
      <c r="S17" s="6"/>
      <c r="V17" s="5">
        <f>IF(V16=12,13,IF(V16=13,15,IF(V16=15,16,IF(V16=16,17,IF(V16=11,12,IF(V16=10,11,IF(V16=3,4,"")))))))</f>
        <v>13</v>
      </c>
      <c r="W17" s="5">
        <f>IF(W16=12,14,IF(AND(W16=14,Q13=11),16,IF(W16=14,15,IF(W16=16,17,IF(W16=17,18,IF(W16=11,12,IF(W16=10,11,IF(W16=3,4,""))))))))</f>
        <v>14</v>
      </c>
    </row>
    <row r="18" spans="1:41" ht="15.75">
      <c r="A18" s="6"/>
      <c r="B18" s="7"/>
      <c r="C18" s="11"/>
      <c r="D18" s="7"/>
      <c r="E18" s="27" t="s">
        <v>18</v>
      </c>
      <c r="F18" s="27"/>
      <c r="G18" s="27" t="s">
        <v>19</v>
      </c>
      <c r="H18" s="27"/>
      <c r="I18" s="27" t="s">
        <v>20</v>
      </c>
      <c r="J18" s="1"/>
      <c r="K18" s="32"/>
      <c r="L18" s="32"/>
      <c r="M18" s="11"/>
      <c r="N18" s="30"/>
      <c r="O18" s="1"/>
      <c r="P18" s="14"/>
      <c r="Q18" s="14"/>
      <c r="R18" s="24"/>
      <c r="S18" s="6"/>
    </row>
    <row r="19" spans="1:41" ht="21.95" customHeight="1">
      <c r="A19" s="6"/>
      <c r="B19" s="7"/>
      <c r="C19" s="9" t="s">
        <v>4</v>
      </c>
      <c r="D19" s="7"/>
      <c r="E19" s="25">
        <v>1</v>
      </c>
      <c r="F19" s="1"/>
      <c r="G19" s="25">
        <v>1</v>
      </c>
      <c r="H19" s="1"/>
      <c r="I19" s="26">
        <v>2033</v>
      </c>
      <c r="J19" s="1"/>
      <c r="K19" s="185" t="s">
        <v>13</v>
      </c>
      <c r="L19" s="185"/>
      <c r="M19" s="185"/>
      <c r="N19" s="33"/>
      <c r="O19" s="19">
        <f>COUNTA(E19,G19,I19,N19,Q19)</f>
        <v>4</v>
      </c>
      <c r="P19" s="13" t="s">
        <v>7</v>
      </c>
      <c r="Q19" s="22">
        <v>13</v>
      </c>
      <c r="R19" s="23" t="str">
        <f>IF(O19&gt;4,"þ","ý")</f>
        <v>ý</v>
      </c>
      <c r="S19" s="6"/>
    </row>
    <row r="20" spans="1:41">
      <c r="A20" s="6"/>
      <c r="B20" s="7"/>
      <c r="C20" s="11"/>
      <c r="D20" s="7"/>
      <c r="E20" s="1"/>
      <c r="F20" s="1"/>
      <c r="G20" s="1"/>
      <c r="H20" s="1"/>
      <c r="I20" s="1"/>
      <c r="J20" s="1"/>
      <c r="K20" s="1"/>
      <c r="L20" s="1"/>
      <c r="M20" s="11"/>
      <c r="N20" s="1"/>
      <c r="O20" s="1"/>
      <c r="P20" s="8"/>
      <c r="Q20" s="8"/>
      <c r="R20" s="1"/>
      <c r="S20" s="6"/>
    </row>
    <row r="21" spans="1:41" ht="21.95" customHeight="1">
      <c r="A21" s="6"/>
      <c r="B21" s="7"/>
      <c r="C21" s="9" t="s">
        <v>17</v>
      </c>
      <c r="D21" s="196" t="s">
        <v>16</v>
      </c>
      <c r="E21" s="196"/>
      <c r="F21" s="1"/>
      <c r="G21" s="1"/>
      <c r="H21" s="1"/>
      <c r="I21" s="1"/>
      <c r="J21" s="1"/>
      <c r="K21" s="186" t="s">
        <v>27</v>
      </c>
      <c r="L21" s="186"/>
      <c r="M21" s="186"/>
      <c r="N21" s="186"/>
      <c r="O21" s="186"/>
      <c r="P21" s="186"/>
      <c r="Q21" s="168" t="s">
        <v>16</v>
      </c>
      <c r="R21" s="1"/>
      <c r="S21" s="6"/>
    </row>
    <row r="22" spans="1:41">
      <c r="A22" s="6"/>
      <c r="B22" s="7"/>
      <c r="C22" s="11"/>
      <c r="D22" s="7"/>
      <c r="E22" s="1"/>
      <c r="F22" s="1"/>
      <c r="G22" s="1"/>
      <c r="H22" s="1"/>
      <c r="I22" s="1"/>
      <c r="J22" s="1"/>
      <c r="K22" s="1"/>
      <c r="L22" s="1"/>
      <c r="M22" s="11"/>
      <c r="N22" s="1"/>
      <c r="O22" s="1"/>
      <c r="P22" s="8"/>
      <c r="Q22" s="8"/>
      <c r="R22" s="1"/>
      <c r="S22" s="6"/>
    </row>
    <row r="23" spans="1:41" ht="21.95" customHeight="1">
      <c r="A23" s="6"/>
      <c r="B23" s="7"/>
      <c r="C23" s="9" t="s">
        <v>5</v>
      </c>
      <c r="D23" s="184" t="s">
        <v>24</v>
      </c>
      <c r="E23" s="184"/>
      <c r="F23" s="184"/>
      <c r="G23" s="184"/>
      <c r="H23" s="184"/>
      <c r="I23" s="184"/>
      <c r="J23" s="20">
        <f>COUNTA(D23,N23)</f>
        <v>2</v>
      </c>
      <c r="K23" s="185" t="s">
        <v>6</v>
      </c>
      <c r="L23" s="185"/>
      <c r="M23" s="185"/>
      <c r="N23" s="28">
        <v>11</v>
      </c>
      <c r="O23" s="23" t="str">
        <f>IF(J23&gt;1,"þ","ý")</f>
        <v>þ</v>
      </c>
      <c r="P23" s="8"/>
      <c r="Q23" s="8"/>
      <c r="R23" s="1"/>
      <c r="S23" s="6"/>
      <c r="AN23" s="5" t="s">
        <v>124</v>
      </c>
    </row>
    <row r="24" spans="1:41" ht="12" customHeight="1">
      <c r="A24" s="6"/>
      <c r="B24" s="7"/>
      <c r="C24" s="1"/>
      <c r="D24" s="1"/>
      <c r="E24" s="1"/>
      <c r="F24" s="1"/>
      <c r="G24" s="1"/>
      <c r="H24" s="1"/>
      <c r="I24" s="1"/>
      <c r="J24" s="1"/>
      <c r="K24" s="1"/>
      <c r="L24" s="1"/>
      <c r="M24" s="1"/>
      <c r="N24" s="1"/>
      <c r="O24" s="1"/>
      <c r="P24" s="8"/>
      <c r="Q24" s="8"/>
      <c r="R24" s="1"/>
      <c r="S24" s="6"/>
      <c r="AN24" s="5" t="s">
        <v>21</v>
      </c>
      <c r="AO24" s="5" t="s">
        <v>22</v>
      </c>
    </row>
    <row r="25" spans="1:41" ht="21.95" customHeight="1">
      <c r="A25" s="6"/>
      <c r="B25" s="7"/>
      <c r="C25" s="9" t="s">
        <v>26</v>
      </c>
      <c r="D25" s="184"/>
      <c r="E25" s="184"/>
      <c r="F25" s="184"/>
      <c r="G25" s="184"/>
      <c r="H25" s="184"/>
      <c r="I25" s="184"/>
      <c r="J25" s="20">
        <f>COUNTA(D25,N25)</f>
        <v>0</v>
      </c>
      <c r="K25" s="20"/>
      <c r="L25" s="20"/>
      <c r="M25" s="12" t="s">
        <v>6</v>
      </c>
      <c r="N25" s="28"/>
      <c r="O25" s="23" t="str">
        <f>IF(J25&gt;1,"þ","ý")</f>
        <v>ý</v>
      </c>
      <c r="P25" s="8"/>
      <c r="Q25" s="8"/>
      <c r="R25" s="1"/>
      <c r="S25" s="6"/>
    </row>
    <row r="26" spans="1:41" ht="12" customHeight="1">
      <c r="A26" s="6"/>
      <c r="B26" s="7"/>
      <c r="C26" s="1"/>
      <c r="D26" s="1"/>
      <c r="E26" s="1"/>
      <c r="F26" s="1"/>
      <c r="G26" s="1"/>
      <c r="H26" s="1"/>
      <c r="I26" s="1"/>
      <c r="J26" s="1"/>
      <c r="K26" s="1"/>
      <c r="L26" s="1"/>
      <c r="M26" s="1"/>
      <c r="N26" s="1"/>
      <c r="O26" s="1"/>
      <c r="P26" s="8"/>
      <c r="Q26" s="8"/>
      <c r="R26" s="1"/>
      <c r="S26" s="6"/>
    </row>
    <row r="27" spans="1:41" ht="21.95" customHeight="1">
      <c r="A27" s="6"/>
      <c r="B27" s="7"/>
      <c r="C27" s="9" t="s">
        <v>26</v>
      </c>
      <c r="D27" s="184"/>
      <c r="E27" s="184"/>
      <c r="F27" s="184"/>
      <c r="G27" s="184"/>
      <c r="H27" s="184"/>
      <c r="I27" s="184"/>
      <c r="J27" s="20">
        <f>COUNTA(D27,N27)</f>
        <v>0</v>
      </c>
      <c r="K27" s="20"/>
      <c r="L27" s="20"/>
      <c r="M27" s="12" t="s">
        <v>6</v>
      </c>
      <c r="N27" s="28"/>
      <c r="O27" s="23" t="str">
        <f>IF(J27&gt;1,"þ","ý")</f>
        <v>ý</v>
      </c>
      <c r="P27" s="8"/>
      <c r="Q27" s="8"/>
      <c r="R27" s="1"/>
      <c r="S27" s="6"/>
    </row>
    <row r="28" spans="1:41">
      <c r="A28" s="6"/>
      <c r="B28" s="7"/>
      <c r="C28" s="7"/>
      <c r="D28" s="7"/>
      <c r="E28" s="1"/>
      <c r="F28" s="1"/>
      <c r="G28" s="1"/>
      <c r="H28" s="1"/>
      <c r="I28" s="1"/>
      <c r="J28" s="1"/>
      <c r="K28" s="20"/>
      <c r="L28" s="1"/>
      <c r="M28" s="11"/>
      <c r="N28" s="1"/>
      <c r="O28" s="1"/>
      <c r="P28" s="8"/>
      <c r="Q28" s="8"/>
      <c r="R28" s="1"/>
      <c r="S28" s="6"/>
    </row>
    <row r="29" spans="1:41" ht="21.95" customHeight="1">
      <c r="A29" s="6"/>
      <c r="B29" s="7"/>
      <c r="C29" s="15" t="s">
        <v>216</v>
      </c>
      <c r="D29" s="7"/>
      <c r="E29" s="7"/>
      <c r="F29" s="31"/>
      <c r="G29" s="188" t="s">
        <v>14</v>
      </c>
      <c r="H29" s="188"/>
      <c r="I29" s="188"/>
      <c r="J29" s="188"/>
      <c r="K29" s="20"/>
      <c r="L29" s="1"/>
      <c r="M29" s="188" t="s">
        <v>15</v>
      </c>
      <c r="N29" s="188"/>
      <c r="O29" s="95"/>
      <c r="P29" s="8"/>
      <c r="Q29" s="8"/>
      <c r="R29" s="1"/>
      <c r="S29" s="6"/>
    </row>
    <row r="30" spans="1:41" ht="12.75" customHeight="1">
      <c r="A30" s="6"/>
      <c r="B30" s="7"/>
      <c r="C30" s="179">
        <v>45426</v>
      </c>
      <c r="D30" s="7"/>
      <c r="E30" s="15"/>
      <c r="F30" s="15"/>
      <c r="G30" s="15"/>
      <c r="H30" s="15"/>
      <c r="I30" s="15"/>
      <c r="J30" s="1"/>
      <c r="K30" s="20"/>
      <c r="L30" s="1"/>
      <c r="M30" s="15"/>
      <c r="N30" s="15"/>
      <c r="O30" s="1"/>
      <c r="P30" s="8"/>
      <c r="Q30" s="8"/>
      <c r="R30" s="1"/>
      <c r="S30" s="6"/>
    </row>
    <row r="31" spans="1:41" ht="21.95" customHeight="1">
      <c r="A31" s="6"/>
      <c r="B31" s="7"/>
      <c r="C31" s="175" t="s">
        <v>204</v>
      </c>
      <c r="D31" s="7"/>
      <c r="E31" s="183" t="s">
        <v>7</v>
      </c>
      <c r="F31" s="183"/>
      <c r="G31" s="183"/>
      <c r="H31" s="183"/>
      <c r="I31" s="176">
        <f>V15</f>
        <v>11</v>
      </c>
      <c r="J31" s="1"/>
      <c r="K31" s="20"/>
      <c r="L31" s="1"/>
      <c r="M31" s="16" t="s">
        <v>7</v>
      </c>
      <c r="N31" s="176">
        <f>W15</f>
        <v>11</v>
      </c>
      <c r="O31" s="1"/>
      <c r="P31" s="8"/>
      <c r="Q31" s="8"/>
      <c r="R31" s="1"/>
      <c r="S31" s="6"/>
    </row>
    <row r="32" spans="1:41" ht="11.1" customHeight="1">
      <c r="A32" s="6"/>
      <c r="B32" s="7"/>
      <c r="C32" s="7"/>
      <c r="D32" s="7"/>
      <c r="E32" s="15"/>
      <c r="F32" s="15"/>
      <c r="G32" s="15"/>
      <c r="H32" s="15"/>
      <c r="I32" s="15"/>
      <c r="J32" s="1"/>
      <c r="K32" s="20"/>
      <c r="L32" s="1"/>
      <c r="M32" s="15"/>
      <c r="N32" s="15"/>
      <c r="O32" s="1"/>
      <c r="P32" s="8"/>
      <c r="Q32" s="8"/>
      <c r="R32" s="1"/>
      <c r="S32" s="6"/>
    </row>
    <row r="33" spans="1:19" ht="21.95" customHeight="1">
      <c r="A33" s="6"/>
      <c r="B33" s="7"/>
      <c r="C33" s="174" t="s">
        <v>205</v>
      </c>
      <c r="D33" s="7"/>
      <c r="E33" s="183" t="s">
        <v>7</v>
      </c>
      <c r="F33" s="183"/>
      <c r="G33" s="183"/>
      <c r="H33" s="183"/>
      <c r="I33" s="176">
        <f>V16</f>
        <v>12</v>
      </c>
      <c r="J33" s="1"/>
      <c r="K33" s="1"/>
      <c r="L33" s="1"/>
      <c r="M33" s="16" t="s">
        <v>7</v>
      </c>
      <c r="N33" s="176">
        <f>W16</f>
        <v>12</v>
      </c>
      <c r="O33" s="1"/>
      <c r="P33" s="8"/>
      <c r="Q33" s="8"/>
      <c r="R33" s="1"/>
      <c r="S33" s="6"/>
    </row>
    <row r="34" spans="1:19" ht="11.1" customHeight="1">
      <c r="A34" s="6"/>
      <c r="B34" s="7"/>
      <c r="C34" s="7"/>
      <c r="D34" s="7"/>
      <c r="E34" s="16"/>
      <c r="F34" s="16"/>
      <c r="G34" s="16"/>
      <c r="H34" s="16"/>
      <c r="I34" s="15"/>
      <c r="J34" s="1"/>
      <c r="K34" s="1"/>
      <c r="L34" s="1"/>
      <c r="M34" s="15"/>
      <c r="N34" s="15"/>
      <c r="O34" s="1"/>
      <c r="P34" s="8"/>
      <c r="Q34" s="8"/>
      <c r="R34" s="1"/>
      <c r="S34" s="6"/>
    </row>
    <row r="35" spans="1:19" ht="21.95" customHeight="1">
      <c r="A35" s="6"/>
      <c r="B35" s="7"/>
      <c r="C35" s="7"/>
      <c r="D35" s="7"/>
      <c r="E35" s="183" t="s">
        <v>7</v>
      </c>
      <c r="F35" s="183"/>
      <c r="G35" s="183"/>
      <c r="H35" s="183"/>
      <c r="I35" s="176">
        <f>V17</f>
        <v>13</v>
      </c>
      <c r="J35" s="1"/>
      <c r="K35" s="1"/>
      <c r="L35" s="1"/>
      <c r="M35" s="16" t="s">
        <v>7</v>
      </c>
      <c r="N35" s="176">
        <f>W17</f>
        <v>14</v>
      </c>
      <c r="O35" s="1"/>
      <c r="P35" s="8"/>
      <c r="Q35" s="8"/>
      <c r="R35" s="1"/>
      <c r="S35" s="6"/>
    </row>
    <row r="36" spans="1:19" ht="21.95" customHeight="1" thickBot="1">
      <c r="A36" s="6"/>
      <c r="B36" s="7"/>
      <c r="C36" s="7"/>
      <c r="D36" s="7"/>
      <c r="E36" s="124"/>
      <c r="F36" s="124"/>
      <c r="G36" s="1"/>
      <c r="H36" s="1"/>
      <c r="I36" s="1"/>
      <c r="J36" s="1"/>
      <c r="K36" s="1"/>
      <c r="L36" s="1"/>
      <c r="M36" s="1"/>
      <c r="N36" s="1"/>
      <c r="O36" s="1"/>
      <c r="P36" s="8"/>
      <c r="Q36" s="8"/>
      <c r="R36" s="1"/>
      <c r="S36" s="6"/>
    </row>
    <row r="37" spans="1:19" ht="25.5" customHeight="1" thickBot="1">
      <c r="A37" s="6"/>
      <c r="B37" s="7"/>
      <c r="C37" s="197" t="s">
        <v>200</v>
      </c>
      <c r="D37" s="198"/>
      <c r="E37" s="198"/>
      <c r="F37" s="198"/>
      <c r="G37" s="198"/>
      <c r="H37" s="198"/>
      <c r="I37" s="198"/>
      <c r="J37" s="198"/>
      <c r="K37" s="198"/>
      <c r="L37" s="198"/>
      <c r="M37" s="198"/>
      <c r="N37" s="198"/>
      <c r="O37" s="198"/>
      <c r="P37" s="198"/>
      <c r="Q37" s="199"/>
      <c r="R37" s="1"/>
      <c r="S37" s="6"/>
    </row>
    <row r="38" spans="1:19" ht="21.95" customHeight="1">
      <c r="A38" s="6"/>
      <c r="B38" s="7"/>
      <c r="C38" s="200" t="s">
        <v>196</v>
      </c>
      <c r="D38" s="201"/>
      <c r="E38" s="201"/>
      <c r="F38" s="201"/>
      <c r="G38" s="201"/>
      <c r="H38" s="201"/>
      <c r="I38" s="201"/>
      <c r="J38" s="201"/>
      <c r="K38" s="201"/>
      <c r="L38" s="201"/>
      <c r="M38" s="201"/>
      <c r="N38" s="201"/>
      <c r="O38" s="201"/>
      <c r="P38" s="201"/>
      <c r="Q38" s="202"/>
      <c r="R38" s="1"/>
      <c r="S38" s="6"/>
    </row>
    <row r="39" spans="1:19" ht="21.95" customHeight="1">
      <c r="A39" s="6"/>
      <c r="B39" s="7"/>
      <c r="C39" s="203" t="s">
        <v>197</v>
      </c>
      <c r="D39" s="204"/>
      <c r="E39" s="204"/>
      <c r="F39" s="204"/>
      <c r="G39" s="204"/>
      <c r="H39" s="204"/>
      <c r="I39" s="204"/>
      <c r="J39" s="204"/>
      <c r="K39" s="204"/>
      <c r="L39" s="204"/>
      <c r="M39" s="204"/>
      <c r="N39" s="204"/>
      <c r="O39" s="204"/>
      <c r="P39" s="204"/>
      <c r="Q39" s="205"/>
      <c r="R39" s="1"/>
      <c r="S39" s="6"/>
    </row>
    <row r="40" spans="1:19" ht="21.95" customHeight="1">
      <c r="A40" s="6"/>
      <c r="B40" s="7"/>
      <c r="C40" s="206" t="s">
        <v>201</v>
      </c>
      <c r="D40" s="207"/>
      <c r="E40" s="207"/>
      <c r="F40" s="207"/>
      <c r="G40" s="207"/>
      <c r="H40" s="207"/>
      <c r="I40" s="207"/>
      <c r="J40" s="207"/>
      <c r="K40" s="207"/>
      <c r="L40" s="207"/>
      <c r="M40" s="207"/>
      <c r="N40" s="207"/>
      <c r="O40" s="207"/>
      <c r="P40" s="207"/>
      <c r="Q40" s="208"/>
      <c r="R40" s="1"/>
      <c r="S40" s="6"/>
    </row>
    <row r="41" spans="1:19" ht="21.95" customHeight="1">
      <c r="A41" s="6"/>
      <c r="B41" s="7"/>
      <c r="C41" s="209" t="s">
        <v>198</v>
      </c>
      <c r="D41" s="210"/>
      <c r="E41" s="210"/>
      <c r="F41" s="210"/>
      <c r="G41" s="210"/>
      <c r="H41" s="210"/>
      <c r="I41" s="210"/>
      <c r="J41" s="210"/>
      <c r="K41" s="210"/>
      <c r="L41" s="210"/>
      <c r="M41" s="210"/>
      <c r="N41" s="210"/>
      <c r="O41" s="210"/>
      <c r="P41" s="210"/>
      <c r="Q41" s="211"/>
      <c r="R41" s="1"/>
      <c r="S41" s="6"/>
    </row>
    <row r="42" spans="1:19" ht="21.95" customHeight="1">
      <c r="A42" s="6"/>
      <c r="B42" s="7"/>
      <c r="C42" s="190" t="s">
        <v>199</v>
      </c>
      <c r="D42" s="191"/>
      <c r="E42" s="191"/>
      <c r="F42" s="191"/>
      <c r="G42" s="191"/>
      <c r="H42" s="191"/>
      <c r="I42" s="191"/>
      <c r="J42" s="191"/>
      <c r="K42" s="191"/>
      <c r="L42" s="191"/>
      <c r="M42" s="191"/>
      <c r="N42" s="191"/>
      <c r="O42" s="191"/>
      <c r="P42" s="191"/>
      <c r="Q42" s="192"/>
      <c r="R42" s="1"/>
      <c r="S42" s="6"/>
    </row>
    <row r="43" spans="1:19" ht="21.95" customHeight="1" thickBot="1">
      <c r="A43" s="6"/>
      <c r="B43" s="7"/>
      <c r="C43" s="193"/>
      <c r="D43" s="194"/>
      <c r="E43" s="194"/>
      <c r="F43" s="194"/>
      <c r="G43" s="194"/>
      <c r="H43" s="194"/>
      <c r="I43" s="194"/>
      <c r="J43" s="194"/>
      <c r="K43" s="194"/>
      <c r="L43" s="194"/>
      <c r="M43" s="194"/>
      <c r="N43" s="194"/>
      <c r="O43" s="194"/>
      <c r="P43" s="194"/>
      <c r="Q43" s="195"/>
      <c r="R43" s="1"/>
      <c r="S43" s="6"/>
    </row>
    <row r="44" spans="1:19">
      <c r="A44" s="6"/>
      <c r="B44" s="7"/>
      <c r="C44" s="7"/>
      <c r="D44" s="7"/>
      <c r="E44" s="1"/>
      <c r="F44" s="1"/>
      <c r="G44" s="1"/>
      <c r="H44" s="1"/>
      <c r="I44" s="1"/>
      <c r="J44" s="1"/>
      <c r="K44" s="1"/>
      <c r="L44" s="1"/>
      <c r="M44" s="7"/>
      <c r="N44" s="1"/>
      <c r="O44" s="1"/>
      <c r="P44" s="8"/>
      <c r="Q44" s="8"/>
      <c r="R44" s="1"/>
      <c r="S44" s="6"/>
    </row>
    <row r="45" spans="1:19">
      <c r="A45" s="1"/>
      <c r="B45" s="2"/>
      <c r="C45" s="3"/>
      <c r="D45" s="3"/>
      <c r="E45" s="2"/>
      <c r="F45" s="2"/>
      <c r="G45" s="2"/>
      <c r="H45" s="2"/>
      <c r="I45" s="2"/>
      <c r="J45" s="2"/>
      <c r="K45" s="2"/>
      <c r="L45" s="2"/>
      <c r="M45" s="3"/>
      <c r="N45" s="2"/>
      <c r="O45" s="2"/>
      <c r="P45" s="4"/>
      <c r="Q45" s="4"/>
      <c r="R45" s="2"/>
      <c r="S45" s="1"/>
    </row>
    <row r="46" spans="1:19"/>
    <row r="47" spans="1:19"/>
    <row r="48" spans="1:19" hidden="1"/>
    <row r="49" hidden="1"/>
    <row r="50"/>
  </sheetData>
  <sheetProtection password="C1FB" sheet="1" objects="1" scenarios="1" formatColumns="0" formatRows="0" selectLockedCells="1"/>
  <mergeCells count="29">
    <mergeCell ref="C37:Q37"/>
    <mergeCell ref="C38:Q38"/>
    <mergeCell ref="C39:Q39"/>
    <mergeCell ref="C40:Q40"/>
    <mergeCell ref="C41:Q41"/>
    <mergeCell ref="E3:M3"/>
    <mergeCell ref="M29:N29"/>
    <mergeCell ref="D7:Q7"/>
    <mergeCell ref="C42:Q42"/>
    <mergeCell ref="C43:Q43"/>
    <mergeCell ref="E33:H33"/>
    <mergeCell ref="E35:H35"/>
    <mergeCell ref="D5:Q5"/>
    <mergeCell ref="D11:I11"/>
    <mergeCell ref="D21:E21"/>
    <mergeCell ref="D23:I23"/>
    <mergeCell ref="G29:J29"/>
    <mergeCell ref="K11:M11"/>
    <mergeCell ref="K13:M13"/>
    <mergeCell ref="K15:M15"/>
    <mergeCell ref="K17:M17"/>
    <mergeCell ref="E31:H31"/>
    <mergeCell ref="D9:I9"/>
    <mergeCell ref="K9:M9"/>
    <mergeCell ref="K21:P21"/>
    <mergeCell ref="D27:I27"/>
    <mergeCell ref="K19:M19"/>
    <mergeCell ref="K23:M23"/>
    <mergeCell ref="D25:I25"/>
  </mergeCells>
  <conditionalFormatting sqref="C24:O27 K28:K32">
    <cfRule type="expression" dxfId="10" priority="13" stopIfTrue="1">
      <formula>$O$23=$AO$24</formula>
    </cfRule>
  </conditionalFormatting>
  <conditionalFormatting sqref="B16:R20">
    <cfRule type="expression" dxfId="9" priority="12" stopIfTrue="1">
      <formula>$R$15=$AO$24</formula>
    </cfRule>
  </conditionalFormatting>
  <conditionalFormatting sqref="R15:R19 O23 O25 O27">
    <cfRule type="cellIs" dxfId="8" priority="11" stopIfTrue="1" operator="equal">
      <formula>$AO$24</formula>
    </cfRule>
  </conditionalFormatting>
  <conditionalFormatting sqref="C18:R20">
    <cfRule type="expression" dxfId="7" priority="10" stopIfTrue="1">
      <formula>$R$17=$AO$24</formula>
    </cfRule>
  </conditionalFormatting>
  <conditionalFormatting sqref="C22:O27 K28:K32">
    <cfRule type="expression" dxfId="6" priority="3" stopIfTrue="1">
      <formula>$D$21=$AN$24</formula>
    </cfRule>
  </conditionalFormatting>
  <conditionalFormatting sqref="C26:O27 K28:K32">
    <cfRule type="expression" dxfId="5" priority="2" stopIfTrue="1">
      <formula>$O$25=$AO$24</formula>
    </cfRule>
  </conditionalFormatting>
  <conditionalFormatting sqref="K28:P36">
    <cfRule type="expression" dxfId="4" priority="1" stopIfTrue="1">
      <formula>$Q$21="NO"</formula>
    </cfRule>
  </conditionalFormatting>
  <dataValidations count="1">
    <dataValidation type="list" allowBlank="1" showInputMessage="1" showErrorMessage="1" sqref="D21:E21 Q21">
      <formula1>"YES , NO"</formula1>
    </dataValidation>
  </dataValidations>
  <hyperlinks>
    <hyperlink ref="C42" r:id="rId1"/>
    <hyperlink ref="C33"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sheetPr>
    <tabColor rgb="FF66FF66"/>
  </sheetPr>
  <dimension ref="A1:Z33"/>
  <sheetViews>
    <sheetView showGridLines="0" showRowColHeaders="0" topLeftCell="A4" workbookViewId="0">
      <selection activeCell="H18" sqref="H18"/>
    </sheetView>
  </sheetViews>
  <sheetFormatPr defaultColWidth="0" defaultRowHeight="15" zeroHeight="1"/>
  <cols>
    <col min="1" max="1" width="3.625" style="5" customWidth="1"/>
    <col min="2" max="2" width="48.625" style="5" customWidth="1"/>
    <col min="3" max="3" width="8.875" style="5" customWidth="1"/>
    <col min="4" max="4" width="8.375" style="5" customWidth="1"/>
    <col min="5" max="5" width="12.625" style="5" customWidth="1"/>
    <col min="6" max="6" width="2.25" style="5" customWidth="1"/>
    <col min="7" max="7" width="14.25" style="5" customWidth="1"/>
    <col min="8" max="8" width="11.125" style="5" customWidth="1"/>
    <col min="9" max="9" width="9.875" style="5" customWidth="1"/>
    <col min="10" max="10" width="9.75" style="5" customWidth="1"/>
    <col min="11" max="11" width="3.625" style="5" customWidth="1"/>
    <col min="12" max="12" width="9" style="5" customWidth="1"/>
    <col min="13" max="25" width="9" style="5" hidden="1" customWidth="1"/>
    <col min="26" max="26" width="0" style="5" hidden="1" customWidth="1"/>
    <col min="27" max="16384" width="9" style="5" hidden="1"/>
  </cols>
  <sheetData>
    <row r="1" spans="1:26">
      <c r="A1" s="43"/>
      <c r="B1" s="42"/>
      <c r="C1" s="42"/>
      <c r="D1" s="42"/>
      <c r="E1" s="42"/>
      <c r="F1" s="42"/>
      <c r="G1" s="42"/>
      <c r="H1" s="42"/>
      <c r="I1" s="42"/>
      <c r="J1" s="42"/>
      <c r="K1" s="43"/>
    </row>
    <row r="2" spans="1:26">
      <c r="A2" s="42"/>
      <c r="B2" s="34"/>
      <c r="C2" s="34"/>
      <c r="D2" s="34"/>
      <c r="E2" s="34"/>
      <c r="F2" s="34"/>
      <c r="G2" s="34"/>
      <c r="H2" s="34"/>
      <c r="I2" s="34"/>
      <c r="J2" s="34"/>
      <c r="K2" s="42"/>
      <c r="Z2" s="18" t="s">
        <v>124</v>
      </c>
    </row>
    <row r="3" spans="1:26" s="18" customFormat="1" ht="24.95" customHeight="1">
      <c r="A3" s="44"/>
      <c r="B3" s="37"/>
      <c r="C3" s="212" t="s">
        <v>74</v>
      </c>
      <c r="D3" s="212"/>
      <c r="E3" s="212"/>
      <c r="F3" s="37"/>
      <c r="G3" s="37"/>
      <c r="H3" s="37"/>
      <c r="I3" s="37"/>
      <c r="J3" s="37"/>
      <c r="K3" s="44"/>
      <c r="Z3" s="18" t="s">
        <v>21</v>
      </c>
    </row>
    <row r="4" spans="1:26">
      <c r="A4" s="42"/>
      <c r="B4" s="34"/>
      <c r="C4" s="34"/>
      <c r="D4" s="34"/>
      <c r="E4" s="34"/>
      <c r="F4" s="34"/>
      <c r="G4" s="34"/>
      <c r="H4" s="34"/>
      <c r="I4" s="34"/>
      <c r="J4" s="34"/>
      <c r="K4" s="42"/>
    </row>
    <row r="5" spans="1:26" ht="21.95" customHeight="1">
      <c r="A5" s="42"/>
      <c r="B5" s="35" t="s">
        <v>68</v>
      </c>
      <c r="C5" s="216" t="str">
        <f>IF('Master Sheet'!D5="","",'Master Sheet'!D5)</f>
        <v>महात्मा गाँधी राजकीय विद्यालय (अंग्रेजी माध्यम) बर, (ब्यावर)</v>
      </c>
      <c r="D5" s="216"/>
      <c r="E5" s="216"/>
      <c r="F5" s="216"/>
      <c r="G5" s="216"/>
      <c r="H5" s="216"/>
      <c r="I5" s="216"/>
      <c r="J5" s="216"/>
      <c r="K5" s="42"/>
    </row>
    <row r="6" spans="1:26" ht="21.95" customHeight="1">
      <c r="A6" s="42"/>
      <c r="B6" s="35" t="s">
        <v>69</v>
      </c>
      <c r="C6" s="213" t="str">
        <f>IF('Master Sheet'!D7="","",'Master Sheet'!D7)</f>
        <v>Mahatma Gandhi Government School (English Medium) Bar, (Beawar)</v>
      </c>
      <c r="D6" s="213"/>
      <c r="E6" s="213"/>
      <c r="F6" s="213"/>
      <c r="G6" s="213"/>
      <c r="H6" s="213"/>
      <c r="I6" s="213"/>
      <c r="J6" s="213"/>
      <c r="K6" s="42"/>
    </row>
    <row r="7" spans="1:26" ht="9.9499999999999993" customHeight="1">
      <c r="A7" s="42"/>
      <c r="B7" s="35"/>
      <c r="C7" s="36"/>
      <c r="D7" s="36"/>
      <c r="E7" s="36"/>
      <c r="F7" s="34"/>
      <c r="G7" s="37"/>
      <c r="H7" s="37"/>
      <c r="I7" s="34"/>
      <c r="J7" s="34"/>
      <c r="K7" s="42"/>
    </row>
    <row r="8" spans="1:26" ht="21.95" customHeight="1">
      <c r="A8" s="42"/>
      <c r="B8" s="35" t="s">
        <v>0</v>
      </c>
      <c r="C8" s="213" t="str">
        <f>IF('Master Sheet'!D11="","",'Master Sheet'!D11)</f>
        <v>HEERALAL JAT</v>
      </c>
      <c r="D8" s="213"/>
      <c r="E8" s="213"/>
      <c r="F8" s="213"/>
      <c r="G8" s="213"/>
      <c r="H8" s="213"/>
      <c r="I8" s="34"/>
      <c r="J8" s="34"/>
      <c r="K8" s="42"/>
    </row>
    <row r="9" spans="1:26" ht="11.25" customHeight="1">
      <c r="A9" s="42"/>
      <c r="B9" s="34"/>
      <c r="C9" s="34"/>
      <c r="D9" s="34"/>
      <c r="E9" s="34"/>
      <c r="F9" s="34"/>
      <c r="G9" s="34"/>
      <c r="H9" s="34"/>
      <c r="I9" s="34"/>
      <c r="J9" s="34"/>
      <c r="K9" s="42"/>
    </row>
    <row r="10" spans="1:26" ht="21.95" customHeight="1">
      <c r="A10" s="42"/>
      <c r="B10" s="35" t="s">
        <v>9</v>
      </c>
      <c r="C10" s="213" t="str">
        <f>IF('Master Sheet'!N11="","",'Master Sheet'!N11)</f>
        <v>Sr. Teacher</v>
      </c>
      <c r="D10" s="213"/>
      <c r="E10" s="213"/>
      <c r="F10" s="34"/>
      <c r="G10" s="38" t="s">
        <v>7</v>
      </c>
      <c r="H10" s="39">
        <f>IF('Master Sheet'!Q11="","",'Master Sheet'!Q11)</f>
        <v>11</v>
      </c>
      <c r="I10" s="34"/>
      <c r="J10" s="34"/>
      <c r="K10" s="42"/>
    </row>
    <row r="11" spans="1:26" ht="16.5" customHeight="1">
      <c r="A11" s="42"/>
      <c r="B11" s="34"/>
      <c r="C11" s="94" t="s">
        <v>18</v>
      </c>
      <c r="D11" s="94" t="s">
        <v>19</v>
      </c>
      <c r="E11" s="94" t="s">
        <v>20</v>
      </c>
      <c r="F11" s="34"/>
      <c r="G11" s="34"/>
      <c r="H11" s="34"/>
      <c r="I11" s="34"/>
      <c r="J11" s="34"/>
      <c r="K11" s="42"/>
    </row>
    <row r="12" spans="1:26" ht="21.95" customHeight="1">
      <c r="A12" s="42"/>
      <c r="B12" s="35" t="s">
        <v>128</v>
      </c>
      <c r="C12" s="91">
        <v>7</v>
      </c>
      <c r="D12" s="92">
        <v>7</v>
      </c>
      <c r="E12" s="93">
        <v>2023</v>
      </c>
      <c r="F12" s="34"/>
      <c r="G12" s="45" t="s">
        <v>127</v>
      </c>
      <c r="H12" s="41">
        <v>18</v>
      </c>
      <c r="I12" s="166"/>
      <c r="J12" s="34"/>
      <c r="K12" s="42"/>
    </row>
    <row r="13" spans="1:26">
      <c r="A13" s="42"/>
      <c r="B13" s="34"/>
      <c r="C13" s="34"/>
      <c r="D13" s="34"/>
      <c r="E13" s="34"/>
      <c r="F13" s="34"/>
      <c r="G13" s="34"/>
      <c r="H13" s="34"/>
      <c r="I13" s="34"/>
      <c r="J13" s="34"/>
      <c r="K13" s="42"/>
    </row>
    <row r="14" spans="1:26" ht="21.95" customHeight="1">
      <c r="A14" s="42"/>
      <c r="B14" s="35" t="s">
        <v>72</v>
      </c>
      <c r="C14" s="217">
        <v>57800</v>
      </c>
      <c r="D14" s="218"/>
      <c r="E14" s="219"/>
      <c r="F14" s="34"/>
      <c r="G14" s="38" t="s">
        <v>7</v>
      </c>
      <c r="H14" s="40">
        <v>12</v>
      </c>
      <c r="I14" s="34"/>
      <c r="J14" s="34"/>
      <c r="K14" s="42"/>
    </row>
    <row r="15" spans="1:26">
      <c r="A15" s="42"/>
      <c r="B15" s="34"/>
      <c r="C15" s="34"/>
      <c r="D15" s="34"/>
      <c r="E15" s="34"/>
      <c r="F15" s="34"/>
      <c r="G15" s="34"/>
      <c r="H15" s="34"/>
      <c r="I15" s="34"/>
      <c r="J15" s="34"/>
      <c r="K15" s="42"/>
    </row>
    <row r="16" spans="1:26" ht="21.95" customHeight="1">
      <c r="A16" s="42"/>
      <c r="B16" s="35" t="s">
        <v>73</v>
      </c>
      <c r="C16" s="217">
        <v>59700</v>
      </c>
      <c r="D16" s="218"/>
      <c r="E16" s="219"/>
      <c r="F16" s="34"/>
      <c r="G16" s="38" t="s">
        <v>7</v>
      </c>
      <c r="H16" s="40">
        <v>13</v>
      </c>
      <c r="I16" s="34"/>
      <c r="J16" s="34"/>
      <c r="K16" s="42"/>
    </row>
    <row r="17" spans="1:11">
      <c r="A17" s="42"/>
      <c r="B17" s="34"/>
      <c r="C17" s="34"/>
      <c r="D17" s="34"/>
      <c r="E17" s="34"/>
      <c r="F17" s="34"/>
      <c r="G17" s="34"/>
      <c r="H17" s="34"/>
      <c r="I17" s="34"/>
      <c r="J17" s="34"/>
      <c r="K17" s="42"/>
    </row>
    <row r="18" spans="1:11" ht="21.95" customHeight="1">
      <c r="A18" s="42"/>
      <c r="B18" s="214" t="s">
        <v>136</v>
      </c>
      <c r="C18" s="214"/>
      <c r="D18" s="214"/>
      <c r="E18" s="214"/>
      <c r="F18" s="214"/>
      <c r="G18" s="215"/>
      <c r="H18" s="41" t="s">
        <v>124</v>
      </c>
      <c r="I18" s="220" t="s">
        <v>139</v>
      </c>
      <c r="J18" s="221"/>
      <c r="K18" s="42"/>
    </row>
    <row r="19" spans="1:11">
      <c r="A19" s="42"/>
      <c r="B19" s="223" t="s">
        <v>129</v>
      </c>
      <c r="C19" s="223"/>
      <c r="D19" s="223"/>
      <c r="E19" s="223"/>
      <c r="F19" s="223"/>
      <c r="G19" s="223"/>
      <c r="H19" s="34"/>
      <c r="I19" s="34"/>
      <c r="J19" s="34"/>
      <c r="K19" s="42"/>
    </row>
    <row r="20" spans="1:11">
      <c r="A20" s="42"/>
      <c r="B20" s="97"/>
      <c r="C20" s="94" t="s">
        <v>18</v>
      </c>
      <c r="D20" s="94" t="s">
        <v>19</v>
      </c>
      <c r="E20" s="94" t="s">
        <v>20</v>
      </c>
      <c r="F20" s="97"/>
      <c r="G20" s="97"/>
      <c r="H20" s="34"/>
      <c r="I20" s="34"/>
      <c r="J20" s="34"/>
      <c r="K20" s="42"/>
    </row>
    <row r="21" spans="1:11" ht="21.95" customHeight="1">
      <c r="A21" s="42"/>
      <c r="B21" s="35" t="s">
        <v>135</v>
      </c>
      <c r="C21" s="91">
        <v>7</v>
      </c>
      <c r="D21" s="92">
        <v>10</v>
      </c>
      <c r="E21" s="93">
        <v>2022</v>
      </c>
      <c r="F21" s="97"/>
      <c r="G21" s="98" t="s">
        <v>137</v>
      </c>
      <c r="H21" s="41">
        <v>18</v>
      </c>
      <c r="I21" s="222" t="s">
        <v>140</v>
      </c>
      <c r="J21" s="222"/>
      <c r="K21" s="42"/>
    </row>
    <row r="22" spans="1:11">
      <c r="A22" s="42"/>
      <c r="B22" s="97"/>
      <c r="C22" s="97"/>
      <c r="D22" s="97"/>
      <c r="E22" s="97"/>
      <c r="F22" s="97"/>
      <c r="G22" s="97"/>
      <c r="H22" s="34"/>
      <c r="I22" s="222"/>
      <c r="J22" s="222"/>
      <c r="K22" s="42"/>
    </row>
    <row r="23" spans="1:11" ht="21.95" customHeight="1">
      <c r="A23" s="42"/>
      <c r="B23" s="35" t="s">
        <v>141</v>
      </c>
      <c r="C23" s="217">
        <v>59700</v>
      </c>
      <c r="D23" s="218"/>
      <c r="E23" s="219"/>
      <c r="F23" s="34"/>
      <c r="G23" s="98" t="s">
        <v>7</v>
      </c>
      <c r="H23" s="40">
        <v>13</v>
      </c>
      <c r="I23" s="222"/>
      <c r="J23" s="222"/>
      <c r="K23" s="42"/>
    </row>
    <row r="24" spans="1:11" ht="15" customHeight="1">
      <c r="A24" s="42"/>
      <c r="B24" s="107" t="s">
        <v>142</v>
      </c>
      <c r="C24" s="34"/>
      <c r="D24" s="34"/>
      <c r="E24" s="34"/>
      <c r="F24" s="34"/>
      <c r="G24" s="34"/>
      <c r="H24" s="34"/>
      <c r="I24" s="222"/>
      <c r="J24" s="222"/>
      <c r="K24" s="42"/>
    </row>
    <row r="25" spans="1:11" ht="21.95" customHeight="1">
      <c r="A25" s="42"/>
      <c r="B25" s="105" t="s">
        <v>138</v>
      </c>
      <c r="C25" s="217">
        <v>61300</v>
      </c>
      <c r="D25" s="218"/>
      <c r="E25" s="219"/>
      <c r="F25" s="34"/>
      <c r="G25" s="98" t="s">
        <v>7</v>
      </c>
      <c r="H25" s="40">
        <v>14</v>
      </c>
      <c r="I25" s="222"/>
      <c r="J25" s="222"/>
      <c r="K25" s="42"/>
    </row>
    <row r="26" spans="1:11" ht="15" customHeight="1">
      <c r="A26" s="42"/>
      <c r="B26" s="102"/>
      <c r="C26" s="94" t="s">
        <v>18</v>
      </c>
      <c r="D26" s="94" t="s">
        <v>19</v>
      </c>
      <c r="E26" s="94" t="s">
        <v>20</v>
      </c>
      <c r="F26" s="106"/>
      <c r="G26" s="106"/>
      <c r="H26" s="106"/>
      <c r="I26" s="106"/>
      <c r="J26" s="106"/>
      <c r="K26" s="42"/>
    </row>
    <row r="27" spans="1:11" ht="21.95" customHeight="1">
      <c r="A27" s="42"/>
      <c r="B27" s="105" t="s">
        <v>143</v>
      </c>
      <c r="C27" s="91">
        <v>1</v>
      </c>
      <c r="D27" s="92">
        <v>4</v>
      </c>
      <c r="E27" s="93">
        <v>2023</v>
      </c>
      <c r="F27" s="34"/>
      <c r="G27" s="98"/>
      <c r="H27" s="106"/>
      <c r="I27" s="106"/>
      <c r="J27" s="106"/>
      <c r="K27" s="42"/>
    </row>
    <row r="28" spans="1:11" ht="20.25" customHeight="1">
      <c r="A28" s="42"/>
      <c r="B28" s="34"/>
      <c r="C28" s="34"/>
      <c r="D28" s="34"/>
      <c r="E28" s="34"/>
      <c r="F28" s="34"/>
      <c r="G28" s="34"/>
      <c r="H28" s="34"/>
      <c r="I28" s="34"/>
      <c r="J28" s="34"/>
      <c r="K28" s="42"/>
    </row>
    <row r="29" spans="1:11">
      <c r="A29" s="43"/>
      <c r="B29" s="42"/>
      <c r="C29" s="42"/>
      <c r="D29" s="42"/>
      <c r="E29" s="42"/>
      <c r="F29" s="42"/>
      <c r="G29" s="42"/>
      <c r="H29" s="42"/>
      <c r="I29" s="42"/>
      <c r="J29" s="42"/>
      <c r="K29" s="43"/>
    </row>
    <row r="30" spans="1:11"/>
    <row r="31" spans="1:11"/>
    <row r="32" spans="1:11"/>
    <row r="33"/>
  </sheetData>
  <sheetProtection password="C1FB" sheet="1" objects="1" scenarios="1" formatColumns="0" formatRows="0" selectLockedCells="1"/>
  <mergeCells count="13">
    <mergeCell ref="C23:E23"/>
    <mergeCell ref="C25:E25"/>
    <mergeCell ref="I18:J18"/>
    <mergeCell ref="I21:J25"/>
    <mergeCell ref="B19:G19"/>
    <mergeCell ref="C3:E3"/>
    <mergeCell ref="C8:H8"/>
    <mergeCell ref="B18:G18"/>
    <mergeCell ref="C5:J5"/>
    <mergeCell ref="C6:J6"/>
    <mergeCell ref="C14:E14"/>
    <mergeCell ref="C16:E16"/>
    <mergeCell ref="C10:E10"/>
  </mergeCells>
  <conditionalFormatting sqref="B20:J28">
    <cfRule type="expression" dxfId="3" priority="1" stopIfTrue="1">
      <formula>$H$18="NO"</formula>
    </cfRule>
  </conditionalFormatting>
  <dataValidations count="2">
    <dataValidation type="list" allowBlank="1" showInputMessage="1" showErrorMessage="1" sqref="H18">
      <formula1>$Z$2:$Z$3</formula1>
    </dataValidation>
    <dataValidation type="list" allowBlank="1" showInputMessage="1" showErrorMessage="1" sqref="H12 H21">
      <formula1>"9, 18, 27"</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rgb="FF99FF33"/>
  </sheetPr>
  <dimension ref="A1:AB74"/>
  <sheetViews>
    <sheetView showGridLines="0" showRowColHeaders="0" workbookViewId="0">
      <selection activeCell="H19" sqref="H19"/>
    </sheetView>
  </sheetViews>
  <sheetFormatPr defaultColWidth="0" defaultRowHeight="15" zeroHeight="1"/>
  <cols>
    <col min="1" max="1" width="3.5" style="5" customWidth="1"/>
    <col min="2" max="2" width="18.125" style="5" customWidth="1"/>
    <col min="3" max="26" width="9" style="5" customWidth="1"/>
    <col min="27" max="27" width="3.875" style="5" customWidth="1"/>
    <col min="28" max="28" width="9" style="5" customWidth="1"/>
    <col min="29" max="16384" width="9" style="5" hidden="1"/>
  </cols>
  <sheetData>
    <row r="1" spans="1:27">
      <c r="A1" s="43"/>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43"/>
    </row>
    <row r="2" spans="1:27" ht="18.75" customHeight="1">
      <c r="A2" s="224"/>
      <c r="B2" s="61"/>
      <c r="C2" s="230" t="s">
        <v>126</v>
      </c>
      <c r="D2" s="230"/>
      <c r="E2" s="230"/>
      <c r="F2" s="230"/>
      <c r="G2" s="230"/>
      <c r="H2" s="230"/>
      <c r="I2" s="230"/>
      <c r="J2" s="230"/>
      <c r="K2" s="230"/>
      <c r="L2" s="230"/>
      <c r="M2" s="230"/>
      <c r="N2" s="230"/>
      <c r="O2" s="230"/>
      <c r="P2" s="230"/>
      <c r="Q2" s="230"/>
      <c r="R2" s="230"/>
      <c r="S2" s="230"/>
      <c r="T2" s="230"/>
      <c r="U2" s="230"/>
      <c r="V2" s="61"/>
      <c r="W2" s="61"/>
      <c r="X2" s="61"/>
      <c r="Y2" s="61"/>
      <c r="Z2" s="61"/>
      <c r="AA2" s="224"/>
    </row>
    <row r="3" spans="1:27" ht="21">
      <c r="A3" s="224"/>
      <c r="B3" s="61"/>
      <c r="C3" s="61"/>
      <c r="D3" s="61"/>
      <c r="E3" s="61"/>
      <c r="F3" s="61"/>
      <c r="G3" s="61"/>
      <c r="H3" s="61"/>
      <c r="I3" s="61"/>
      <c r="J3" s="61"/>
      <c r="K3" s="61"/>
      <c r="L3" s="61"/>
      <c r="M3" s="227" t="s">
        <v>67</v>
      </c>
      <c r="N3" s="227"/>
      <c r="O3" s="227"/>
      <c r="P3" s="227"/>
      <c r="Q3" s="61"/>
      <c r="R3" s="61"/>
      <c r="S3" s="61"/>
      <c r="T3" s="61"/>
      <c r="U3" s="61"/>
      <c r="V3" s="61"/>
      <c r="W3" s="61"/>
      <c r="X3" s="61"/>
      <c r="Y3" s="61"/>
      <c r="Z3" s="61"/>
      <c r="AA3" s="224"/>
    </row>
    <row r="4" spans="1:27">
      <c r="A4" s="224"/>
      <c r="B4" s="61"/>
      <c r="C4" s="61"/>
      <c r="D4" s="61"/>
      <c r="E4" s="61"/>
      <c r="F4" s="61"/>
      <c r="G4" s="61"/>
      <c r="H4" s="61"/>
      <c r="I4" s="61"/>
      <c r="J4" s="61"/>
      <c r="K4" s="61"/>
      <c r="L4" s="61"/>
      <c r="M4" s="61"/>
      <c r="N4" s="61"/>
      <c r="O4" s="61"/>
      <c r="P4" s="61"/>
      <c r="Q4" s="61"/>
      <c r="R4" s="61"/>
      <c r="S4" s="61"/>
      <c r="T4" s="61"/>
      <c r="U4" s="61"/>
      <c r="V4" s="61"/>
      <c r="W4" s="61"/>
      <c r="X4" s="61"/>
      <c r="Y4" s="61"/>
      <c r="Z4" s="61"/>
      <c r="AA4" s="224"/>
    </row>
    <row r="5" spans="1:27" ht="23.25" customHeight="1">
      <c r="A5" s="224"/>
      <c r="B5" s="228" t="s">
        <v>30</v>
      </c>
      <c r="C5" s="228"/>
      <c r="D5" s="228"/>
      <c r="E5" s="228"/>
      <c r="F5" s="228"/>
      <c r="G5" s="228"/>
      <c r="H5" s="228"/>
      <c r="I5" s="228"/>
      <c r="J5" s="228"/>
      <c r="K5" s="228"/>
      <c r="L5" s="228"/>
      <c r="M5" s="228"/>
      <c r="N5" s="228"/>
      <c r="O5" s="228"/>
      <c r="P5" s="228"/>
      <c r="Q5" s="228"/>
      <c r="R5" s="228"/>
      <c r="S5" s="228"/>
      <c r="T5" s="228"/>
      <c r="U5" s="228"/>
      <c r="V5" s="228"/>
      <c r="W5" s="228"/>
      <c r="X5" s="228"/>
      <c r="Y5" s="228"/>
      <c r="Z5" s="228"/>
      <c r="AA5" s="224"/>
    </row>
    <row r="6" spans="1:27" s="18" customFormat="1" ht="21.95" customHeight="1">
      <c r="A6" s="224"/>
      <c r="B6" s="62" t="s">
        <v>31</v>
      </c>
      <c r="C6" s="229" t="s">
        <v>63</v>
      </c>
      <c r="D6" s="229"/>
      <c r="E6" s="229"/>
      <c r="F6" s="229"/>
      <c r="G6" s="229"/>
      <c r="H6" s="229"/>
      <c r="I6" s="229"/>
      <c r="J6" s="229"/>
      <c r="K6" s="229"/>
      <c r="L6" s="229" t="s">
        <v>64</v>
      </c>
      <c r="M6" s="229"/>
      <c r="N6" s="229"/>
      <c r="O6" s="229"/>
      <c r="P6" s="229" t="s">
        <v>65</v>
      </c>
      <c r="Q6" s="229"/>
      <c r="R6" s="229"/>
      <c r="S6" s="229"/>
      <c r="T6" s="229"/>
      <c r="U6" s="229"/>
      <c r="V6" s="229"/>
      <c r="W6" s="229" t="s">
        <v>66</v>
      </c>
      <c r="X6" s="229"/>
      <c r="Y6" s="229"/>
      <c r="Z6" s="229"/>
      <c r="AA6" s="224"/>
    </row>
    <row r="7" spans="1:27" s="18" customFormat="1" ht="21.95" customHeight="1">
      <c r="A7" s="224"/>
      <c r="B7" s="62" t="s">
        <v>32</v>
      </c>
      <c r="C7" s="62">
        <v>1700</v>
      </c>
      <c r="D7" s="62">
        <v>1750</v>
      </c>
      <c r="E7" s="62">
        <v>1900</v>
      </c>
      <c r="F7" s="62">
        <v>2000</v>
      </c>
      <c r="G7" s="62">
        <v>2400</v>
      </c>
      <c r="H7" s="62">
        <v>2400</v>
      </c>
      <c r="I7" s="62">
        <v>2400</v>
      </c>
      <c r="J7" s="62">
        <v>2800</v>
      </c>
      <c r="K7" s="62">
        <v>2800</v>
      </c>
      <c r="L7" s="62">
        <v>3600</v>
      </c>
      <c r="M7" s="62">
        <v>4200</v>
      </c>
      <c r="N7" s="62">
        <v>4800</v>
      </c>
      <c r="O7" s="62">
        <v>5400</v>
      </c>
      <c r="P7" s="62">
        <v>5400</v>
      </c>
      <c r="Q7" s="62">
        <v>6000</v>
      </c>
      <c r="R7" s="62">
        <v>6600</v>
      </c>
      <c r="S7" s="62">
        <v>6800</v>
      </c>
      <c r="T7" s="62">
        <v>7200</v>
      </c>
      <c r="U7" s="62">
        <v>7600</v>
      </c>
      <c r="V7" s="62">
        <v>8200</v>
      </c>
      <c r="W7" s="62">
        <v>8700</v>
      </c>
      <c r="X7" s="62">
        <v>8900</v>
      </c>
      <c r="Y7" s="62">
        <v>9500</v>
      </c>
      <c r="Z7" s="62">
        <v>10000</v>
      </c>
      <c r="AA7" s="224"/>
    </row>
    <row r="8" spans="1:27" s="18" customFormat="1" ht="21.95" customHeight="1">
      <c r="A8" s="224"/>
      <c r="B8" s="62" t="s">
        <v>33</v>
      </c>
      <c r="C8" s="63">
        <v>2</v>
      </c>
      <c r="D8" s="63">
        <v>3</v>
      </c>
      <c r="E8" s="63">
        <v>4</v>
      </c>
      <c r="F8" s="63">
        <v>5</v>
      </c>
      <c r="G8" s="63">
        <v>9</v>
      </c>
      <c r="H8" s="63" t="s">
        <v>34</v>
      </c>
      <c r="I8" s="63" t="s">
        <v>35</v>
      </c>
      <c r="J8" s="63">
        <v>10</v>
      </c>
      <c r="K8" s="63" t="s">
        <v>36</v>
      </c>
      <c r="L8" s="63">
        <v>11</v>
      </c>
      <c r="M8" s="63">
        <v>12</v>
      </c>
      <c r="N8" s="63">
        <v>13</v>
      </c>
      <c r="O8" s="63">
        <v>15</v>
      </c>
      <c r="P8" s="63">
        <v>15</v>
      </c>
      <c r="Q8" s="63">
        <v>16</v>
      </c>
      <c r="R8" s="63">
        <v>17</v>
      </c>
      <c r="S8" s="63">
        <v>18</v>
      </c>
      <c r="T8" s="63">
        <v>19</v>
      </c>
      <c r="U8" s="63">
        <v>20</v>
      </c>
      <c r="V8" s="63">
        <v>21</v>
      </c>
      <c r="W8" s="63">
        <v>22</v>
      </c>
      <c r="X8" s="63">
        <v>23</v>
      </c>
      <c r="Y8" s="63" t="s">
        <v>37</v>
      </c>
      <c r="Z8" s="63">
        <v>24</v>
      </c>
      <c r="AA8" s="224"/>
    </row>
    <row r="9" spans="1:27" s="64" customFormat="1" ht="15.75">
      <c r="A9" s="224"/>
      <c r="B9" s="62" t="s">
        <v>38</v>
      </c>
      <c r="C9" s="63" t="s">
        <v>39</v>
      </c>
      <c r="D9" s="63" t="s">
        <v>40</v>
      </c>
      <c r="E9" s="63" t="s">
        <v>41</v>
      </c>
      <c r="F9" s="63" t="s">
        <v>42</v>
      </c>
      <c r="G9" s="63" t="s">
        <v>43</v>
      </c>
      <c r="H9" s="63" t="s">
        <v>44</v>
      </c>
      <c r="I9" s="63" t="s">
        <v>45</v>
      </c>
      <c r="J9" s="63" t="s">
        <v>46</v>
      </c>
      <c r="K9" s="63" t="s">
        <v>47</v>
      </c>
      <c r="L9" s="63" t="s">
        <v>48</v>
      </c>
      <c r="M9" s="63" t="s">
        <v>49</v>
      </c>
      <c r="N9" s="63" t="s">
        <v>50</v>
      </c>
      <c r="O9" s="63" t="s">
        <v>51</v>
      </c>
      <c r="P9" s="63" t="s">
        <v>52</v>
      </c>
      <c r="Q9" s="63" t="s">
        <v>53</v>
      </c>
      <c r="R9" s="63" t="s">
        <v>54</v>
      </c>
      <c r="S9" s="63" t="s">
        <v>55</v>
      </c>
      <c r="T9" s="63" t="s">
        <v>56</v>
      </c>
      <c r="U9" s="63" t="s">
        <v>57</v>
      </c>
      <c r="V9" s="63" t="s">
        <v>58</v>
      </c>
      <c r="W9" s="63" t="s">
        <v>59</v>
      </c>
      <c r="X9" s="63" t="s">
        <v>60</v>
      </c>
      <c r="Y9" s="63" t="s">
        <v>61</v>
      </c>
      <c r="Z9" s="63" t="s">
        <v>62</v>
      </c>
      <c r="AA9" s="224"/>
    </row>
    <row r="10" spans="1:27" s="64" customFormat="1">
      <c r="A10" s="224"/>
      <c r="B10" s="62" t="s">
        <v>29</v>
      </c>
      <c r="C10" s="65">
        <v>1</v>
      </c>
      <c r="D10" s="66">
        <v>2</v>
      </c>
      <c r="E10" s="65">
        <v>3</v>
      </c>
      <c r="F10" s="66">
        <v>4</v>
      </c>
      <c r="G10" s="65">
        <v>5</v>
      </c>
      <c r="H10" s="66">
        <v>6</v>
      </c>
      <c r="I10" s="65">
        <v>7</v>
      </c>
      <c r="J10" s="66">
        <v>8</v>
      </c>
      <c r="K10" s="65">
        <v>9</v>
      </c>
      <c r="L10" s="66">
        <v>10</v>
      </c>
      <c r="M10" s="65">
        <v>11</v>
      </c>
      <c r="N10" s="66">
        <v>12</v>
      </c>
      <c r="O10" s="65">
        <v>13</v>
      </c>
      <c r="P10" s="66">
        <v>14</v>
      </c>
      <c r="Q10" s="65">
        <v>15</v>
      </c>
      <c r="R10" s="66">
        <v>16</v>
      </c>
      <c r="S10" s="65">
        <v>17</v>
      </c>
      <c r="T10" s="66">
        <v>18</v>
      </c>
      <c r="U10" s="65">
        <v>19</v>
      </c>
      <c r="V10" s="66">
        <v>20</v>
      </c>
      <c r="W10" s="65">
        <v>21</v>
      </c>
      <c r="X10" s="66">
        <v>22</v>
      </c>
      <c r="Y10" s="67">
        <v>23</v>
      </c>
      <c r="Z10" s="67">
        <v>24</v>
      </c>
      <c r="AA10" s="224"/>
    </row>
    <row r="11" spans="1:27" s="18" customFormat="1" ht="15.75">
      <c r="A11" s="224"/>
      <c r="B11" s="63">
        <v>1</v>
      </c>
      <c r="C11" s="68">
        <v>17700</v>
      </c>
      <c r="D11" s="68">
        <v>17900</v>
      </c>
      <c r="E11" s="68">
        <v>18200</v>
      </c>
      <c r="F11" s="68">
        <v>19200</v>
      </c>
      <c r="G11" s="68">
        <v>20800</v>
      </c>
      <c r="H11" s="68">
        <v>21500</v>
      </c>
      <c r="I11" s="68">
        <v>22400</v>
      </c>
      <c r="J11" s="68">
        <v>26300</v>
      </c>
      <c r="K11" s="68">
        <v>28700</v>
      </c>
      <c r="L11" s="68">
        <v>33800</v>
      </c>
      <c r="M11" s="68">
        <v>37800</v>
      </c>
      <c r="N11" s="68">
        <v>44300</v>
      </c>
      <c r="O11" s="68">
        <v>53100</v>
      </c>
      <c r="P11" s="68">
        <v>56100</v>
      </c>
      <c r="Q11" s="68">
        <v>60700</v>
      </c>
      <c r="R11" s="68">
        <v>67300</v>
      </c>
      <c r="S11" s="68">
        <v>71000</v>
      </c>
      <c r="T11" s="68">
        <v>75300</v>
      </c>
      <c r="U11" s="68">
        <v>79900</v>
      </c>
      <c r="V11" s="68">
        <v>88900</v>
      </c>
      <c r="W11" s="68">
        <v>123100</v>
      </c>
      <c r="X11" s="68">
        <v>129700</v>
      </c>
      <c r="Y11" s="68">
        <v>145800</v>
      </c>
      <c r="Z11" s="68">
        <v>148800</v>
      </c>
      <c r="AA11" s="224"/>
    </row>
    <row r="12" spans="1:27" s="18" customFormat="1" ht="15.75">
      <c r="A12" s="224"/>
      <c r="B12" s="63">
        <v>2</v>
      </c>
      <c r="C12" s="68">
        <f>MROUND(C11*1.03,100)</f>
        <v>18200</v>
      </c>
      <c r="D12" s="68">
        <f>MROUND(D11*1.03,100)</f>
        <v>18400</v>
      </c>
      <c r="E12" s="68">
        <f t="shared" ref="E12:Z27" si="0">MROUND(E11*1.03,100)</f>
        <v>18700</v>
      </c>
      <c r="F12" s="68">
        <f t="shared" si="0"/>
        <v>19800</v>
      </c>
      <c r="G12" s="68">
        <f t="shared" si="0"/>
        <v>21400</v>
      </c>
      <c r="H12" s="68">
        <f t="shared" si="0"/>
        <v>22100</v>
      </c>
      <c r="I12" s="68">
        <f t="shared" si="0"/>
        <v>23100</v>
      </c>
      <c r="J12" s="68">
        <f t="shared" si="0"/>
        <v>27100</v>
      </c>
      <c r="K12" s="68">
        <f t="shared" si="0"/>
        <v>29600</v>
      </c>
      <c r="L12" s="68">
        <f t="shared" si="0"/>
        <v>34800</v>
      </c>
      <c r="M12" s="68">
        <f t="shared" si="0"/>
        <v>38900</v>
      </c>
      <c r="N12" s="68">
        <f t="shared" si="0"/>
        <v>45600</v>
      </c>
      <c r="O12" s="68">
        <f t="shared" si="0"/>
        <v>54700</v>
      </c>
      <c r="P12" s="68">
        <f t="shared" si="0"/>
        <v>57800</v>
      </c>
      <c r="Q12" s="68">
        <f t="shared" si="0"/>
        <v>62500</v>
      </c>
      <c r="R12" s="68">
        <f t="shared" si="0"/>
        <v>69300</v>
      </c>
      <c r="S12" s="68">
        <f t="shared" si="0"/>
        <v>73100</v>
      </c>
      <c r="T12" s="68">
        <f t="shared" si="0"/>
        <v>77600</v>
      </c>
      <c r="U12" s="68">
        <f t="shared" si="0"/>
        <v>82300</v>
      </c>
      <c r="V12" s="68">
        <f t="shared" si="0"/>
        <v>91600</v>
      </c>
      <c r="W12" s="68">
        <f t="shared" si="0"/>
        <v>126800</v>
      </c>
      <c r="X12" s="68">
        <f t="shared" si="0"/>
        <v>133600</v>
      </c>
      <c r="Y12" s="68">
        <f t="shared" si="0"/>
        <v>150200</v>
      </c>
      <c r="Z12" s="68">
        <f t="shared" si="0"/>
        <v>153300</v>
      </c>
      <c r="AA12" s="224"/>
    </row>
    <row r="13" spans="1:27" s="18" customFormat="1" ht="15.75">
      <c r="A13" s="224"/>
      <c r="B13" s="63">
        <v>3</v>
      </c>
      <c r="C13" s="68">
        <f t="shared" ref="C13:C50" si="1">MROUND(C12*1.03,100)</f>
        <v>18700</v>
      </c>
      <c r="D13" s="68">
        <f t="shared" ref="D13:D50" si="2">MROUND(D12*1.03,100)</f>
        <v>19000</v>
      </c>
      <c r="E13" s="68">
        <f t="shared" ref="E13:E50" si="3">MROUND(E12*1.03,100)</f>
        <v>19300</v>
      </c>
      <c r="F13" s="68">
        <f t="shared" ref="F13:F50" si="4">MROUND(F12*1.03,100)</f>
        <v>20400</v>
      </c>
      <c r="G13" s="68">
        <f t="shared" ref="G13:G50" si="5">MROUND(G12*1.03,100)</f>
        <v>22000</v>
      </c>
      <c r="H13" s="68">
        <f t="shared" ref="H13:H50" si="6">MROUND(H12*1.03,100)</f>
        <v>22800</v>
      </c>
      <c r="I13" s="68">
        <f t="shared" ref="I13:I50" si="7">MROUND(I12*1.03,100)</f>
        <v>23800</v>
      </c>
      <c r="J13" s="68">
        <f t="shared" ref="J13:J50" si="8">MROUND(J12*1.03,100)</f>
        <v>27900</v>
      </c>
      <c r="K13" s="68">
        <f t="shared" ref="K13:K50" si="9">MROUND(K12*1.03,100)</f>
        <v>30500</v>
      </c>
      <c r="L13" s="68">
        <f t="shared" ref="L13:L50" si="10">MROUND(L12*1.03,100)</f>
        <v>35800</v>
      </c>
      <c r="M13" s="68">
        <f t="shared" ref="M13:M50" si="11">MROUND(M12*1.03,100)</f>
        <v>40100</v>
      </c>
      <c r="N13" s="68">
        <f t="shared" ref="N13:N50" si="12">MROUND(N12*1.03,100)</f>
        <v>47000</v>
      </c>
      <c r="O13" s="68">
        <f t="shared" ref="O13:O50" si="13">MROUND(O12*1.03,100)</f>
        <v>56300</v>
      </c>
      <c r="P13" s="68">
        <f t="shared" ref="P13:P50" si="14">MROUND(P12*1.03,100)</f>
        <v>59500</v>
      </c>
      <c r="Q13" s="68">
        <f t="shared" ref="Q13:Q50" si="15">MROUND(Q12*1.03,100)</f>
        <v>64400</v>
      </c>
      <c r="R13" s="68">
        <f t="shared" ref="R13:R47" si="16">MROUND(R12*1.03,100)</f>
        <v>71400</v>
      </c>
      <c r="S13" s="68">
        <f t="shared" ref="S13:S46" si="17">MROUND(S12*1.03,100)</f>
        <v>75300</v>
      </c>
      <c r="T13" s="68">
        <f t="shared" ref="T13:T44" si="18">MROUND(T12*1.03,100)</f>
        <v>79900</v>
      </c>
      <c r="U13" s="68">
        <f t="shared" ref="U13:U42" si="19">MROUND(U12*1.03,100)</f>
        <v>84800</v>
      </c>
      <c r="V13" s="68">
        <f t="shared" ref="V13:W39" si="20">MROUND(V12*1.03,100)</f>
        <v>94300</v>
      </c>
      <c r="W13" s="68">
        <f t="shared" si="0"/>
        <v>130600</v>
      </c>
      <c r="X13" s="68">
        <f t="shared" si="0"/>
        <v>137600</v>
      </c>
      <c r="Y13" s="68">
        <f t="shared" ref="Y13:Y24" si="21">MROUND(Y12*1.03,100)</f>
        <v>154700</v>
      </c>
      <c r="Z13" s="68">
        <f t="shared" ref="Z13:Z24" si="22">MROUND(Z12*1.03,100)</f>
        <v>157900</v>
      </c>
      <c r="AA13" s="224"/>
    </row>
    <row r="14" spans="1:27" s="18" customFormat="1" ht="15.75">
      <c r="A14" s="224"/>
      <c r="B14" s="63">
        <v>4</v>
      </c>
      <c r="C14" s="68">
        <f t="shared" si="1"/>
        <v>19300</v>
      </c>
      <c r="D14" s="68">
        <f t="shared" si="2"/>
        <v>19600</v>
      </c>
      <c r="E14" s="68">
        <f t="shared" si="3"/>
        <v>19900</v>
      </c>
      <c r="F14" s="68">
        <f t="shared" si="4"/>
        <v>21000</v>
      </c>
      <c r="G14" s="68">
        <f t="shared" si="5"/>
        <v>22700</v>
      </c>
      <c r="H14" s="68">
        <f t="shared" si="6"/>
        <v>23500</v>
      </c>
      <c r="I14" s="68">
        <f t="shared" si="7"/>
        <v>24500</v>
      </c>
      <c r="J14" s="68">
        <f t="shared" si="8"/>
        <v>28700</v>
      </c>
      <c r="K14" s="68">
        <f t="shared" si="9"/>
        <v>31400</v>
      </c>
      <c r="L14" s="68">
        <f t="shared" si="10"/>
        <v>36900</v>
      </c>
      <c r="M14" s="68">
        <f t="shared" si="11"/>
        <v>41300</v>
      </c>
      <c r="N14" s="68">
        <f t="shared" si="12"/>
        <v>48400</v>
      </c>
      <c r="O14" s="68">
        <f t="shared" si="13"/>
        <v>58000</v>
      </c>
      <c r="P14" s="68">
        <f t="shared" si="14"/>
        <v>61300</v>
      </c>
      <c r="Q14" s="68">
        <f t="shared" si="15"/>
        <v>66300</v>
      </c>
      <c r="R14" s="68">
        <f t="shared" si="16"/>
        <v>73500</v>
      </c>
      <c r="S14" s="68">
        <f t="shared" si="17"/>
        <v>77600</v>
      </c>
      <c r="T14" s="68">
        <f t="shared" si="18"/>
        <v>82300</v>
      </c>
      <c r="U14" s="68">
        <f t="shared" si="19"/>
        <v>87300</v>
      </c>
      <c r="V14" s="68">
        <f t="shared" si="20"/>
        <v>97100</v>
      </c>
      <c r="W14" s="68">
        <f t="shared" si="0"/>
        <v>134500</v>
      </c>
      <c r="X14" s="68">
        <f t="shared" si="0"/>
        <v>141700</v>
      </c>
      <c r="Y14" s="68">
        <f t="shared" si="21"/>
        <v>159300</v>
      </c>
      <c r="Z14" s="68">
        <f t="shared" si="22"/>
        <v>162600</v>
      </c>
      <c r="AA14" s="224"/>
    </row>
    <row r="15" spans="1:27" s="18" customFormat="1" ht="15.75">
      <c r="A15" s="224"/>
      <c r="B15" s="63">
        <v>5</v>
      </c>
      <c r="C15" s="68">
        <f t="shared" si="1"/>
        <v>19900</v>
      </c>
      <c r="D15" s="68">
        <f t="shared" si="2"/>
        <v>20200</v>
      </c>
      <c r="E15" s="68">
        <f t="shared" si="3"/>
        <v>20500</v>
      </c>
      <c r="F15" s="68">
        <f t="shared" si="4"/>
        <v>21600</v>
      </c>
      <c r="G15" s="68">
        <f t="shared" si="5"/>
        <v>23400</v>
      </c>
      <c r="H15" s="68">
        <f t="shared" si="6"/>
        <v>24200</v>
      </c>
      <c r="I15" s="68">
        <f t="shared" si="7"/>
        <v>25200</v>
      </c>
      <c r="J15" s="68">
        <f t="shared" si="8"/>
        <v>29600</v>
      </c>
      <c r="K15" s="68">
        <f t="shared" si="9"/>
        <v>32300</v>
      </c>
      <c r="L15" s="68">
        <f t="shared" si="10"/>
        <v>38000</v>
      </c>
      <c r="M15" s="68">
        <f t="shared" si="11"/>
        <v>42500</v>
      </c>
      <c r="N15" s="68">
        <f t="shared" si="12"/>
        <v>49900</v>
      </c>
      <c r="O15" s="68">
        <f t="shared" si="13"/>
        <v>59700</v>
      </c>
      <c r="P15" s="68">
        <f t="shared" si="14"/>
        <v>63100</v>
      </c>
      <c r="Q15" s="68">
        <f t="shared" si="15"/>
        <v>68300</v>
      </c>
      <c r="R15" s="68">
        <f t="shared" si="16"/>
        <v>75700</v>
      </c>
      <c r="S15" s="68">
        <f t="shared" si="17"/>
        <v>79900</v>
      </c>
      <c r="T15" s="68">
        <f t="shared" si="18"/>
        <v>84800</v>
      </c>
      <c r="U15" s="68">
        <f t="shared" si="19"/>
        <v>89900</v>
      </c>
      <c r="V15" s="68">
        <f t="shared" si="20"/>
        <v>100000</v>
      </c>
      <c r="W15" s="68">
        <f t="shared" si="0"/>
        <v>138500</v>
      </c>
      <c r="X15" s="68">
        <f t="shared" si="0"/>
        <v>146000</v>
      </c>
      <c r="Y15" s="68">
        <f t="shared" si="21"/>
        <v>164100</v>
      </c>
      <c r="Z15" s="68">
        <f t="shared" si="22"/>
        <v>167500</v>
      </c>
      <c r="AA15" s="224"/>
    </row>
    <row r="16" spans="1:27" s="18" customFormat="1" ht="15.75">
      <c r="A16" s="224"/>
      <c r="B16" s="63">
        <v>6</v>
      </c>
      <c r="C16" s="68">
        <f t="shared" si="1"/>
        <v>20500</v>
      </c>
      <c r="D16" s="68">
        <f t="shared" si="2"/>
        <v>20800</v>
      </c>
      <c r="E16" s="68">
        <f t="shared" si="3"/>
        <v>21100</v>
      </c>
      <c r="F16" s="68">
        <f t="shared" si="4"/>
        <v>22200</v>
      </c>
      <c r="G16" s="68">
        <f t="shared" si="5"/>
        <v>24100</v>
      </c>
      <c r="H16" s="68">
        <f t="shared" si="6"/>
        <v>24900</v>
      </c>
      <c r="I16" s="68">
        <f t="shared" si="7"/>
        <v>26000</v>
      </c>
      <c r="J16" s="68">
        <f t="shared" si="8"/>
        <v>30500</v>
      </c>
      <c r="K16" s="68">
        <f t="shared" si="9"/>
        <v>33300</v>
      </c>
      <c r="L16" s="68">
        <f t="shared" si="10"/>
        <v>39100</v>
      </c>
      <c r="M16" s="68">
        <f t="shared" si="11"/>
        <v>43800</v>
      </c>
      <c r="N16" s="68">
        <f t="shared" si="12"/>
        <v>51400</v>
      </c>
      <c r="O16" s="68">
        <f t="shared" si="13"/>
        <v>61500</v>
      </c>
      <c r="P16" s="68">
        <f t="shared" si="14"/>
        <v>65000</v>
      </c>
      <c r="Q16" s="68">
        <f t="shared" si="15"/>
        <v>70300</v>
      </c>
      <c r="R16" s="68">
        <f t="shared" si="16"/>
        <v>78000</v>
      </c>
      <c r="S16" s="68">
        <f t="shared" si="17"/>
        <v>82300</v>
      </c>
      <c r="T16" s="68">
        <f t="shared" si="18"/>
        <v>87300</v>
      </c>
      <c r="U16" s="68">
        <f t="shared" si="19"/>
        <v>92600</v>
      </c>
      <c r="V16" s="68">
        <f t="shared" si="20"/>
        <v>103000</v>
      </c>
      <c r="W16" s="68">
        <f t="shared" si="0"/>
        <v>142700</v>
      </c>
      <c r="X16" s="68">
        <f t="shared" si="0"/>
        <v>150400</v>
      </c>
      <c r="Y16" s="68">
        <f t="shared" si="21"/>
        <v>169000</v>
      </c>
      <c r="Z16" s="68">
        <f t="shared" si="22"/>
        <v>172500</v>
      </c>
      <c r="AA16" s="224"/>
    </row>
    <row r="17" spans="1:27" s="18" customFormat="1" ht="15.75">
      <c r="A17" s="224"/>
      <c r="B17" s="63">
        <v>7</v>
      </c>
      <c r="C17" s="68">
        <f t="shared" si="1"/>
        <v>21100</v>
      </c>
      <c r="D17" s="68">
        <f t="shared" si="2"/>
        <v>21400</v>
      </c>
      <c r="E17" s="68">
        <f t="shared" si="3"/>
        <v>21700</v>
      </c>
      <c r="F17" s="68">
        <f t="shared" si="4"/>
        <v>22900</v>
      </c>
      <c r="G17" s="68">
        <f t="shared" si="5"/>
        <v>24800</v>
      </c>
      <c r="H17" s="68">
        <f t="shared" si="6"/>
        <v>25600</v>
      </c>
      <c r="I17" s="68">
        <f t="shared" si="7"/>
        <v>26800</v>
      </c>
      <c r="J17" s="68">
        <f t="shared" si="8"/>
        <v>31400</v>
      </c>
      <c r="K17" s="68">
        <f t="shared" si="9"/>
        <v>34300</v>
      </c>
      <c r="L17" s="68">
        <f t="shared" si="10"/>
        <v>40300</v>
      </c>
      <c r="M17" s="68">
        <f t="shared" si="11"/>
        <v>45100</v>
      </c>
      <c r="N17" s="68">
        <f t="shared" si="12"/>
        <v>52900</v>
      </c>
      <c r="O17" s="68">
        <f t="shared" si="13"/>
        <v>63300</v>
      </c>
      <c r="P17" s="68">
        <f t="shared" si="14"/>
        <v>67000</v>
      </c>
      <c r="Q17" s="68">
        <f t="shared" si="15"/>
        <v>72400</v>
      </c>
      <c r="R17" s="68">
        <f t="shared" si="16"/>
        <v>80300</v>
      </c>
      <c r="S17" s="68">
        <f t="shared" si="17"/>
        <v>84800</v>
      </c>
      <c r="T17" s="68">
        <f t="shared" si="18"/>
        <v>89900</v>
      </c>
      <c r="U17" s="68">
        <f t="shared" si="19"/>
        <v>95400</v>
      </c>
      <c r="V17" s="68">
        <f t="shared" si="20"/>
        <v>106100</v>
      </c>
      <c r="W17" s="68">
        <f t="shared" si="0"/>
        <v>147000</v>
      </c>
      <c r="X17" s="68">
        <f t="shared" si="0"/>
        <v>154900</v>
      </c>
      <c r="Y17" s="68">
        <f t="shared" si="21"/>
        <v>174100</v>
      </c>
      <c r="Z17" s="68">
        <f t="shared" si="22"/>
        <v>177700</v>
      </c>
      <c r="AA17" s="224"/>
    </row>
    <row r="18" spans="1:27" s="18" customFormat="1" ht="15.75">
      <c r="A18" s="224"/>
      <c r="B18" s="63">
        <v>8</v>
      </c>
      <c r="C18" s="68">
        <f t="shared" si="1"/>
        <v>21700</v>
      </c>
      <c r="D18" s="68">
        <f t="shared" si="2"/>
        <v>22000</v>
      </c>
      <c r="E18" s="68">
        <f t="shared" si="3"/>
        <v>22400</v>
      </c>
      <c r="F18" s="68">
        <f t="shared" si="4"/>
        <v>23600</v>
      </c>
      <c r="G18" s="68">
        <f t="shared" si="5"/>
        <v>25500</v>
      </c>
      <c r="H18" s="68">
        <f t="shared" si="6"/>
        <v>26400</v>
      </c>
      <c r="I18" s="68">
        <f t="shared" si="7"/>
        <v>27600</v>
      </c>
      <c r="J18" s="68">
        <f t="shared" si="8"/>
        <v>32300</v>
      </c>
      <c r="K18" s="68">
        <f t="shared" si="9"/>
        <v>35300</v>
      </c>
      <c r="L18" s="68">
        <f t="shared" si="10"/>
        <v>41500</v>
      </c>
      <c r="M18" s="68">
        <f t="shared" si="11"/>
        <v>46500</v>
      </c>
      <c r="N18" s="68">
        <f t="shared" si="12"/>
        <v>54500</v>
      </c>
      <c r="O18" s="68">
        <f t="shared" si="13"/>
        <v>65200</v>
      </c>
      <c r="P18" s="68">
        <f t="shared" si="14"/>
        <v>69000</v>
      </c>
      <c r="Q18" s="68">
        <f t="shared" si="15"/>
        <v>74600</v>
      </c>
      <c r="R18" s="68">
        <f t="shared" si="16"/>
        <v>82700</v>
      </c>
      <c r="S18" s="68">
        <f t="shared" si="17"/>
        <v>87300</v>
      </c>
      <c r="T18" s="68">
        <f t="shared" si="18"/>
        <v>92600</v>
      </c>
      <c r="U18" s="68">
        <f t="shared" si="19"/>
        <v>98300</v>
      </c>
      <c r="V18" s="68">
        <f t="shared" si="20"/>
        <v>109300</v>
      </c>
      <c r="W18" s="68">
        <f t="shared" si="0"/>
        <v>151400</v>
      </c>
      <c r="X18" s="68">
        <f t="shared" si="0"/>
        <v>159500</v>
      </c>
      <c r="Y18" s="68">
        <f t="shared" si="21"/>
        <v>179300</v>
      </c>
      <c r="Z18" s="68">
        <f t="shared" si="22"/>
        <v>183000</v>
      </c>
      <c r="AA18" s="224"/>
    </row>
    <row r="19" spans="1:27" s="18" customFormat="1" ht="15.75">
      <c r="A19" s="224"/>
      <c r="B19" s="63">
        <v>9</v>
      </c>
      <c r="C19" s="68">
        <f t="shared" si="1"/>
        <v>22400</v>
      </c>
      <c r="D19" s="68">
        <f t="shared" si="2"/>
        <v>22700</v>
      </c>
      <c r="E19" s="68">
        <f t="shared" si="3"/>
        <v>23100</v>
      </c>
      <c r="F19" s="68">
        <f t="shared" si="4"/>
        <v>24300</v>
      </c>
      <c r="G19" s="68">
        <f t="shared" si="5"/>
        <v>26300</v>
      </c>
      <c r="H19" s="68">
        <f t="shared" si="6"/>
        <v>27200</v>
      </c>
      <c r="I19" s="68">
        <f t="shared" si="7"/>
        <v>28400</v>
      </c>
      <c r="J19" s="68">
        <f t="shared" si="8"/>
        <v>33300</v>
      </c>
      <c r="K19" s="68">
        <f t="shared" si="9"/>
        <v>36400</v>
      </c>
      <c r="L19" s="68">
        <f t="shared" si="10"/>
        <v>42700</v>
      </c>
      <c r="M19" s="68">
        <f t="shared" si="11"/>
        <v>47900</v>
      </c>
      <c r="N19" s="68">
        <f t="shared" si="12"/>
        <v>56100</v>
      </c>
      <c r="O19" s="68">
        <f t="shared" si="13"/>
        <v>67200</v>
      </c>
      <c r="P19" s="68">
        <f t="shared" si="14"/>
        <v>71100</v>
      </c>
      <c r="Q19" s="68">
        <f t="shared" si="15"/>
        <v>76800</v>
      </c>
      <c r="R19" s="68">
        <f t="shared" si="16"/>
        <v>85200</v>
      </c>
      <c r="S19" s="68">
        <f t="shared" si="17"/>
        <v>89900</v>
      </c>
      <c r="T19" s="68">
        <f t="shared" si="18"/>
        <v>95400</v>
      </c>
      <c r="U19" s="68">
        <f t="shared" si="19"/>
        <v>101200</v>
      </c>
      <c r="V19" s="68">
        <f t="shared" si="20"/>
        <v>112600</v>
      </c>
      <c r="W19" s="68">
        <f t="shared" si="0"/>
        <v>155900</v>
      </c>
      <c r="X19" s="68">
        <f t="shared" si="0"/>
        <v>164300</v>
      </c>
      <c r="Y19" s="68">
        <f t="shared" si="21"/>
        <v>184700</v>
      </c>
      <c r="Z19" s="68">
        <f t="shared" si="22"/>
        <v>188500</v>
      </c>
      <c r="AA19" s="224"/>
    </row>
    <row r="20" spans="1:27" s="18" customFormat="1" ht="15.75">
      <c r="A20" s="224"/>
      <c r="B20" s="63">
        <v>10</v>
      </c>
      <c r="C20" s="68">
        <f t="shared" si="1"/>
        <v>23100</v>
      </c>
      <c r="D20" s="68">
        <f t="shared" si="2"/>
        <v>23400</v>
      </c>
      <c r="E20" s="68">
        <f t="shared" si="3"/>
        <v>23800</v>
      </c>
      <c r="F20" s="68">
        <f t="shared" si="4"/>
        <v>25000</v>
      </c>
      <c r="G20" s="68">
        <f t="shared" si="5"/>
        <v>27100</v>
      </c>
      <c r="H20" s="68">
        <f t="shared" si="6"/>
        <v>28000</v>
      </c>
      <c r="I20" s="68">
        <f t="shared" si="7"/>
        <v>29300</v>
      </c>
      <c r="J20" s="68">
        <f t="shared" si="8"/>
        <v>34300</v>
      </c>
      <c r="K20" s="68">
        <f t="shared" si="9"/>
        <v>37500</v>
      </c>
      <c r="L20" s="68">
        <f t="shared" si="10"/>
        <v>44000</v>
      </c>
      <c r="M20" s="68">
        <f t="shared" si="11"/>
        <v>49300</v>
      </c>
      <c r="N20" s="68">
        <f t="shared" si="12"/>
        <v>57800</v>
      </c>
      <c r="O20" s="68">
        <f t="shared" si="13"/>
        <v>69200</v>
      </c>
      <c r="P20" s="68">
        <f t="shared" si="14"/>
        <v>73200</v>
      </c>
      <c r="Q20" s="68">
        <f t="shared" si="15"/>
        <v>79100</v>
      </c>
      <c r="R20" s="68">
        <f t="shared" si="16"/>
        <v>87800</v>
      </c>
      <c r="S20" s="68">
        <f t="shared" si="17"/>
        <v>92600</v>
      </c>
      <c r="T20" s="68">
        <f t="shared" si="18"/>
        <v>98300</v>
      </c>
      <c r="U20" s="68">
        <f t="shared" si="19"/>
        <v>104200</v>
      </c>
      <c r="V20" s="68">
        <f t="shared" si="20"/>
        <v>116000</v>
      </c>
      <c r="W20" s="68">
        <f t="shared" si="0"/>
        <v>160600</v>
      </c>
      <c r="X20" s="68">
        <f t="shared" si="0"/>
        <v>169200</v>
      </c>
      <c r="Y20" s="68">
        <f t="shared" si="21"/>
        <v>190200</v>
      </c>
      <c r="Z20" s="68">
        <f t="shared" si="22"/>
        <v>194200</v>
      </c>
      <c r="AA20" s="224"/>
    </row>
    <row r="21" spans="1:27" s="18" customFormat="1" ht="15.75">
      <c r="A21" s="224"/>
      <c r="B21" s="63">
        <v>11</v>
      </c>
      <c r="C21" s="68">
        <f t="shared" si="1"/>
        <v>23800</v>
      </c>
      <c r="D21" s="68">
        <f t="shared" si="2"/>
        <v>24100</v>
      </c>
      <c r="E21" s="68">
        <f t="shared" si="3"/>
        <v>24500</v>
      </c>
      <c r="F21" s="68">
        <f t="shared" si="4"/>
        <v>25800</v>
      </c>
      <c r="G21" s="68">
        <f t="shared" si="5"/>
        <v>27900</v>
      </c>
      <c r="H21" s="68">
        <f t="shared" si="6"/>
        <v>28800</v>
      </c>
      <c r="I21" s="68">
        <f t="shared" si="7"/>
        <v>30200</v>
      </c>
      <c r="J21" s="68">
        <f t="shared" si="8"/>
        <v>35300</v>
      </c>
      <c r="K21" s="68">
        <f t="shared" si="9"/>
        <v>38600</v>
      </c>
      <c r="L21" s="68">
        <f t="shared" si="10"/>
        <v>45300</v>
      </c>
      <c r="M21" s="68">
        <f t="shared" si="11"/>
        <v>50800</v>
      </c>
      <c r="N21" s="68">
        <f t="shared" si="12"/>
        <v>59500</v>
      </c>
      <c r="O21" s="68">
        <f t="shared" si="13"/>
        <v>71300</v>
      </c>
      <c r="P21" s="68">
        <f t="shared" si="14"/>
        <v>75400</v>
      </c>
      <c r="Q21" s="68">
        <f t="shared" si="15"/>
        <v>81500</v>
      </c>
      <c r="R21" s="68">
        <f t="shared" si="16"/>
        <v>90400</v>
      </c>
      <c r="S21" s="68">
        <f t="shared" si="17"/>
        <v>95400</v>
      </c>
      <c r="T21" s="68">
        <f t="shared" si="18"/>
        <v>101200</v>
      </c>
      <c r="U21" s="68">
        <f t="shared" si="19"/>
        <v>107300</v>
      </c>
      <c r="V21" s="68">
        <f t="shared" si="20"/>
        <v>119500</v>
      </c>
      <c r="W21" s="68">
        <f t="shared" si="0"/>
        <v>165400</v>
      </c>
      <c r="X21" s="68">
        <f t="shared" si="0"/>
        <v>174300</v>
      </c>
      <c r="Y21" s="68">
        <f t="shared" si="21"/>
        <v>195900</v>
      </c>
      <c r="Z21" s="68">
        <f t="shared" si="22"/>
        <v>200000</v>
      </c>
      <c r="AA21" s="224"/>
    </row>
    <row r="22" spans="1:27" s="18" customFormat="1" ht="15.75">
      <c r="A22" s="224"/>
      <c r="B22" s="63">
        <v>12</v>
      </c>
      <c r="C22" s="68">
        <f t="shared" si="1"/>
        <v>24500</v>
      </c>
      <c r="D22" s="68">
        <f t="shared" si="2"/>
        <v>24800</v>
      </c>
      <c r="E22" s="68">
        <f t="shared" si="3"/>
        <v>25200</v>
      </c>
      <c r="F22" s="68">
        <f t="shared" si="4"/>
        <v>26600</v>
      </c>
      <c r="G22" s="68">
        <f t="shared" si="5"/>
        <v>28700</v>
      </c>
      <c r="H22" s="68">
        <f t="shared" si="6"/>
        <v>29700</v>
      </c>
      <c r="I22" s="68">
        <f t="shared" si="7"/>
        <v>31100</v>
      </c>
      <c r="J22" s="68">
        <f t="shared" si="8"/>
        <v>36400</v>
      </c>
      <c r="K22" s="68">
        <f t="shared" si="9"/>
        <v>39800</v>
      </c>
      <c r="L22" s="68">
        <f t="shared" si="10"/>
        <v>46700</v>
      </c>
      <c r="M22" s="68">
        <f t="shared" si="11"/>
        <v>52300</v>
      </c>
      <c r="N22" s="68">
        <f t="shared" si="12"/>
        <v>61300</v>
      </c>
      <c r="O22" s="68">
        <f t="shared" si="13"/>
        <v>73400</v>
      </c>
      <c r="P22" s="68">
        <f t="shared" si="14"/>
        <v>77700</v>
      </c>
      <c r="Q22" s="68">
        <f t="shared" si="15"/>
        <v>83900</v>
      </c>
      <c r="R22" s="68">
        <f t="shared" si="16"/>
        <v>93100</v>
      </c>
      <c r="S22" s="68">
        <f t="shared" si="17"/>
        <v>98300</v>
      </c>
      <c r="T22" s="68">
        <f t="shared" si="18"/>
        <v>104200</v>
      </c>
      <c r="U22" s="68">
        <f t="shared" si="19"/>
        <v>110500</v>
      </c>
      <c r="V22" s="68">
        <f t="shared" si="20"/>
        <v>123100</v>
      </c>
      <c r="W22" s="68">
        <f t="shared" si="0"/>
        <v>170400</v>
      </c>
      <c r="X22" s="68">
        <f t="shared" si="0"/>
        <v>179500</v>
      </c>
      <c r="Y22" s="68">
        <f t="shared" si="21"/>
        <v>201800</v>
      </c>
      <c r="Z22" s="68">
        <f t="shared" si="22"/>
        <v>206000</v>
      </c>
      <c r="AA22" s="224"/>
    </row>
    <row r="23" spans="1:27" s="18" customFormat="1" ht="15.75">
      <c r="A23" s="224"/>
      <c r="B23" s="63">
        <v>13</v>
      </c>
      <c r="C23" s="68">
        <f t="shared" si="1"/>
        <v>25200</v>
      </c>
      <c r="D23" s="68">
        <f t="shared" si="2"/>
        <v>25500</v>
      </c>
      <c r="E23" s="68">
        <f t="shared" si="3"/>
        <v>26000</v>
      </c>
      <c r="F23" s="68">
        <f t="shared" si="4"/>
        <v>27400</v>
      </c>
      <c r="G23" s="68">
        <f t="shared" si="5"/>
        <v>29600</v>
      </c>
      <c r="H23" s="68">
        <f t="shared" si="6"/>
        <v>30600</v>
      </c>
      <c r="I23" s="68">
        <f t="shared" si="7"/>
        <v>32000</v>
      </c>
      <c r="J23" s="68">
        <f t="shared" si="8"/>
        <v>37500</v>
      </c>
      <c r="K23" s="68">
        <f t="shared" si="9"/>
        <v>41000</v>
      </c>
      <c r="L23" s="68">
        <f t="shared" si="10"/>
        <v>48100</v>
      </c>
      <c r="M23" s="68">
        <f t="shared" si="11"/>
        <v>53900</v>
      </c>
      <c r="N23" s="68">
        <f t="shared" si="12"/>
        <v>63100</v>
      </c>
      <c r="O23" s="68">
        <f t="shared" si="13"/>
        <v>75600</v>
      </c>
      <c r="P23" s="68">
        <f t="shared" si="14"/>
        <v>80000</v>
      </c>
      <c r="Q23" s="68">
        <f t="shared" si="15"/>
        <v>86400</v>
      </c>
      <c r="R23" s="68">
        <f t="shared" si="16"/>
        <v>95900</v>
      </c>
      <c r="S23" s="68">
        <f t="shared" si="17"/>
        <v>101200</v>
      </c>
      <c r="T23" s="68">
        <f t="shared" si="18"/>
        <v>107300</v>
      </c>
      <c r="U23" s="68">
        <f t="shared" si="19"/>
        <v>113800</v>
      </c>
      <c r="V23" s="68">
        <f t="shared" si="20"/>
        <v>126800</v>
      </c>
      <c r="W23" s="68">
        <f t="shared" si="0"/>
        <v>175500</v>
      </c>
      <c r="X23" s="68">
        <f t="shared" si="0"/>
        <v>184900</v>
      </c>
      <c r="Y23" s="68">
        <f t="shared" si="21"/>
        <v>207900</v>
      </c>
      <c r="Z23" s="68">
        <f t="shared" si="22"/>
        <v>212200</v>
      </c>
      <c r="AA23" s="224"/>
    </row>
    <row r="24" spans="1:27" s="18" customFormat="1" ht="15.75">
      <c r="A24" s="224"/>
      <c r="B24" s="63">
        <v>14</v>
      </c>
      <c r="C24" s="68">
        <f t="shared" si="1"/>
        <v>26000</v>
      </c>
      <c r="D24" s="68">
        <f t="shared" si="2"/>
        <v>26300</v>
      </c>
      <c r="E24" s="68">
        <f t="shared" si="3"/>
        <v>26800</v>
      </c>
      <c r="F24" s="68">
        <f t="shared" si="4"/>
        <v>28200</v>
      </c>
      <c r="G24" s="68">
        <f t="shared" si="5"/>
        <v>30500</v>
      </c>
      <c r="H24" s="68">
        <f t="shared" si="6"/>
        <v>31500</v>
      </c>
      <c r="I24" s="68">
        <f t="shared" si="7"/>
        <v>33000</v>
      </c>
      <c r="J24" s="68">
        <f t="shared" si="8"/>
        <v>38600</v>
      </c>
      <c r="K24" s="68">
        <f t="shared" si="9"/>
        <v>42200</v>
      </c>
      <c r="L24" s="68">
        <f t="shared" si="10"/>
        <v>49500</v>
      </c>
      <c r="M24" s="68">
        <f t="shared" si="11"/>
        <v>55500</v>
      </c>
      <c r="N24" s="68">
        <f t="shared" si="12"/>
        <v>65000</v>
      </c>
      <c r="O24" s="68">
        <f t="shared" si="13"/>
        <v>77900</v>
      </c>
      <c r="P24" s="68">
        <f t="shared" si="14"/>
        <v>82400</v>
      </c>
      <c r="Q24" s="68">
        <f t="shared" si="15"/>
        <v>89000</v>
      </c>
      <c r="R24" s="68">
        <f t="shared" si="16"/>
        <v>98800</v>
      </c>
      <c r="S24" s="68">
        <f t="shared" si="17"/>
        <v>104200</v>
      </c>
      <c r="T24" s="68">
        <f t="shared" si="18"/>
        <v>110500</v>
      </c>
      <c r="U24" s="68">
        <f t="shared" si="19"/>
        <v>117200</v>
      </c>
      <c r="V24" s="68">
        <f t="shared" si="20"/>
        <v>130600</v>
      </c>
      <c r="W24" s="68">
        <f t="shared" si="0"/>
        <v>180800</v>
      </c>
      <c r="X24" s="68">
        <f t="shared" si="0"/>
        <v>190400</v>
      </c>
      <c r="Y24" s="68">
        <f t="shared" si="21"/>
        <v>214100</v>
      </c>
      <c r="Z24" s="68">
        <f t="shared" si="22"/>
        <v>218600</v>
      </c>
      <c r="AA24" s="224"/>
    </row>
    <row r="25" spans="1:27" s="18" customFormat="1" ht="15.75">
      <c r="A25" s="224"/>
      <c r="B25" s="63">
        <v>15</v>
      </c>
      <c r="C25" s="68">
        <f t="shared" si="1"/>
        <v>26800</v>
      </c>
      <c r="D25" s="68">
        <f t="shared" si="2"/>
        <v>27100</v>
      </c>
      <c r="E25" s="68">
        <f t="shared" si="3"/>
        <v>27600</v>
      </c>
      <c r="F25" s="68">
        <f t="shared" si="4"/>
        <v>29000</v>
      </c>
      <c r="G25" s="68">
        <f t="shared" si="5"/>
        <v>31400</v>
      </c>
      <c r="H25" s="68">
        <f t="shared" si="6"/>
        <v>32400</v>
      </c>
      <c r="I25" s="68">
        <f t="shared" si="7"/>
        <v>34000</v>
      </c>
      <c r="J25" s="68">
        <f t="shared" si="8"/>
        <v>39800</v>
      </c>
      <c r="K25" s="68">
        <f t="shared" si="9"/>
        <v>43500</v>
      </c>
      <c r="L25" s="68">
        <f t="shared" si="10"/>
        <v>51000</v>
      </c>
      <c r="M25" s="68">
        <f t="shared" si="11"/>
        <v>57200</v>
      </c>
      <c r="N25" s="68">
        <f t="shared" si="12"/>
        <v>67000</v>
      </c>
      <c r="O25" s="68">
        <f t="shared" si="13"/>
        <v>80200</v>
      </c>
      <c r="P25" s="68">
        <f t="shared" si="14"/>
        <v>84900</v>
      </c>
      <c r="Q25" s="68">
        <f t="shared" si="15"/>
        <v>91700</v>
      </c>
      <c r="R25" s="68">
        <f t="shared" si="16"/>
        <v>101800</v>
      </c>
      <c r="S25" s="68">
        <f t="shared" si="17"/>
        <v>107300</v>
      </c>
      <c r="T25" s="68">
        <f t="shared" si="18"/>
        <v>113800</v>
      </c>
      <c r="U25" s="68">
        <f t="shared" si="19"/>
        <v>120700</v>
      </c>
      <c r="V25" s="68">
        <f t="shared" si="20"/>
        <v>134500</v>
      </c>
      <c r="W25" s="68">
        <f t="shared" si="0"/>
        <v>186200</v>
      </c>
      <c r="X25" s="68">
        <f t="shared" si="0"/>
        <v>196100</v>
      </c>
      <c r="Y25" s="68"/>
      <c r="Z25" s="68"/>
      <c r="AA25" s="224"/>
    </row>
    <row r="26" spans="1:27" s="18" customFormat="1" ht="15.75">
      <c r="A26" s="224"/>
      <c r="B26" s="63">
        <v>16</v>
      </c>
      <c r="C26" s="68">
        <f t="shared" si="1"/>
        <v>27600</v>
      </c>
      <c r="D26" s="68">
        <f t="shared" si="2"/>
        <v>27900</v>
      </c>
      <c r="E26" s="68">
        <f t="shared" si="3"/>
        <v>28400</v>
      </c>
      <c r="F26" s="68">
        <f t="shared" si="4"/>
        <v>29900</v>
      </c>
      <c r="G26" s="68">
        <f t="shared" si="5"/>
        <v>32300</v>
      </c>
      <c r="H26" s="68">
        <f t="shared" si="6"/>
        <v>33400</v>
      </c>
      <c r="I26" s="68">
        <f t="shared" si="7"/>
        <v>35000</v>
      </c>
      <c r="J26" s="68">
        <f t="shared" si="8"/>
        <v>41000</v>
      </c>
      <c r="K26" s="68">
        <f t="shared" si="9"/>
        <v>44800</v>
      </c>
      <c r="L26" s="68">
        <f t="shared" si="10"/>
        <v>52500</v>
      </c>
      <c r="M26" s="68">
        <f t="shared" si="11"/>
        <v>58900</v>
      </c>
      <c r="N26" s="68">
        <f t="shared" si="12"/>
        <v>69000</v>
      </c>
      <c r="O26" s="68">
        <f t="shared" si="13"/>
        <v>82600</v>
      </c>
      <c r="P26" s="68">
        <f t="shared" si="14"/>
        <v>87400</v>
      </c>
      <c r="Q26" s="68">
        <f t="shared" si="15"/>
        <v>94500</v>
      </c>
      <c r="R26" s="68">
        <f t="shared" si="16"/>
        <v>104900</v>
      </c>
      <c r="S26" s="68">
        <f t="shared" si="17"/>
        <v>110500</v>
      </c>
      <c r="T26" s="68">
        <f t="shared" si="18"/>
        <v>117200</v>
      </c>
      <c r="U26" s="68">
        <f t="shared" si="19"/>
        <v>124300</v>
      </c>
      <c r="V26" s="68">
        <f t="shared" si="20"/>
        <v>138500</v>
      </c>
      <c r="W26" s="68">
        <f t="shared" si="0"/>
        <v>191800</v>
      </c>
      <c r="X26" s="68">
        <f t="shared" si="0"/>
        <v>202000</v>
      </c>
      <c r="Y26" s="68"/>
      <c r="Z26" s="68"/>
      <c r="AA26" s="224"/>
    </row>
    <row r="27" spans="1:27" s="18" customFormat="1" ht="15.75">
      <c r="A27" s="224"/>
      <c r="B27" s="63">
        <v>17</v>
      </c>
      <c r="C27" s="68">
        <f t="shared" si="1"/>
        <v>28400</v>
      </c>
      <c r="D27" s="68">
        <f t="shared" si="2"/>
        <v>28700</v>
      </c>
      <c r="E27" s="68">
        <f t="shared" si="3"/>
        <v>29300</v>
      </c>
      <c r="F27" s="68">
        <f t="shared" si="4"/>
        <v>30800</v>
      </c>
      <c r="G27" s="68">
        <f t="shared" si="5"/>
        <v>33300</v>
      </c>
      <c r="H27" s="68">
        <f t="shared" si="6"/>
        <v>34400</v>
      </c>
      <c r="I27" s="68">
        <f t="shared" si="7"/>
        <v>36100</v>
      </c>
      <c r="J27" s="68">
        <f t="shared" si="8"/>
        <v>42200</v>
      </c>
      <c r="K27" s="68">
        <f t="shared" si="9"/>
        <v>46100</v>
      </c>
      <c r="L27" s="68">
        <f t="shared" si="10"/>
        <v>54100</v>
      </c>
      <c r="M27" s="68">
        <f t="shared" si="11"/>
        <v>60700</v>
      </c>
      <c r="N27" s="68">
        <f t="shared" si="12"/>
        <v>71100</v>
      </c>
      <c r="O27" s="68">
        <f t="shared" si="13"/>
        <v>85100</v>
      </c>
      <c r="P27" s="68">
        <f t="shared" si="14"/>
        <v>90000</v>
      </c>
      <c r="Q27" s="68">
        <f t="shared" si="15"/>
        <v>97300</v>
      </c>
      <c r="R27" s="68">
        <f t="shared" si="16"/>
        <v>108000</v>
      </c>
      <c r="S27" s="68">
        <f t="shared" si="17"/>
        <v>113800</v>
      </c>
      <c r="T27" s="68">
        <f t="shared" si="18"/>
        <v>120700</v>
      </c>
      <c r="U27" s="68">
        <f t="shared" si="19"/>
        <v>128000</v>
      </c>
      <c r="V27" s="68">
        <f t="shared" si="20"/>
        <v>142700</v>
      </c>
      <c r="W27" s="68">
        <f t="shared" si="0"/>
        <v>197600</v>
      </c>
      <c r="X27" s="68">
        <f t="shared" si="0"/>
        <v>208100</v>
      </c>
      <c r="Y27" s="68"/>
      <c r="Z27" s="68"/>
      <c r="AA27" s="224"/>
    </row>
    <row r="28" spans="1:27" s="18" customFormat="1" ht="15.75">
      <c r="A28" s="224"/>
      <c r="B28" s="63">
        <v>18</v>
      </c>
      <c r="C28" s="68">
        <f t="shared" si="1"/>
        <v>29300</v>
      </c>
      <c r="D28" s="68">
        <f t="shared" si="2"/>
        <v>29600</v>
      </c>
      <c r="E28" s="68">
        <f t="shared" si="3"/>
        <v>30200</v>
      </c>
      <c r="F28" s="68">
        <f t="shared" si="4"/>
        <v>31700</v>
      </c>
      <c r="G28" s="68">
        <f t="shared" si="5"/>
        <v>34300</v>
      </c>
      <c r="H28" s="68">
        <f t="shared" si="6"/>
        <v>35400</v>
      </c>
      <c r="I28" s="68">
        <f t="shared" si="7"/>
        <v>37200</v>
      </c>
      <c r="J28" s="68">
        <f t="shared" si="8"/>
        <v>43500</v>
      </c>
      <c r="K28" s="68">
        <f t="shared" si="9"/>
        <v>47500</v>
      </c>
      <c r="L28" s="68">
        <f t="shared" si="10"/>
        <v>55700</v>
      </c>
      <c r="M28" s="68">
        <f t="shared" si="11"/>
        <v>62500</v>
      </c>
      <c r="N28" s="68">
        <f t="shared" si="12"/>
        <v>73200</v>
      </c>
      <c r="O28" s="68">
        <f t="shared" si="13"/>
        <v>87700</v>
      </c>
      <c r="P28" s="68">
        <f t="shared" si="14"/>
        <v>92700</v>
      </c>
      <c r="Q28" s="68">
        <f t="shared" si="15"/>
        <v>100200</v>
      </c>
      <c r="R28" s="68">
        <f t="shared" si="16"/>
        <v>111200</v>
      </c>
      <c r="S28" s="68">
        <f t="shared" si="17"/>
        <v>117200</v>
      </c>
      <c r="T28" s="68">
        <f t="shared" si="18"/>
        <v>124300</v>
      </c>
      <c r="U28" s="68">
        <f t="shared" si="19"/>
        <v>131800</v>
      </c>
      <c r="V28" s="68">
        <f t="shared" si="20"/>
        <v>147000</v>
      </c>
      <c r="W28" s="68">
        <f t="shared" si="20"/>
        <v>203500</v>
      </c>
      <c r="X28" s="68"/>
      <c r="Y28" s="68"/>
      <c r="Z28" s="68"/>
      <c r="AA28" s="224"/>
    </row>
    <row r="29" spans="1:27" s="18" customFormat="1" ht="15.75">
      <c r="A29" s="224"/>
      <c r="B29" s="63">
        <v>19</v>
      </c>
      <c r="C29" s="68">
        <f t="shared" si="1"/>
        <v>30200</v>
      </c>
      <c r="D29" s="68">
        <f t="shared" si="2"/>
        <v>30500</v>
      </c>
      <c r="E29" s="68">
        <f t="shared" si="3"/>
        <v>31100</v>
      </c>
      <c r="F29" s="68">
        <f t="shared" si="4"/>
        <v>32700</v>
      </c>
      <c r="G29" s="68">
        <f t="shared" si="5"/>
        <v>35300</v>
      </c>
      <c r="H29" s="68">
        <f t="shared" si="6"/>
        <v>36500</v>
      </c>
      <c r="I29" s="68">
        <f t="shared" si="7"/>
        <v>38300</v>
      </c>
      <c r="J29" s="68">
        <f t="shared" si="8"/>
        <v>44800</v>
      </c>
      <c r="K29" s="68">
        <f t="shared" si="9"/>
        <v>48900</v>
      </c>
      <c r="L29" s="68">
        <f t="shared" si="10"/>
        <v>57400</v>
      </c>
      <c r="M29" s="68">
        <f t="shared" si="11"/>
        <v>64400</v>
      </c>
      <c r="N29" s="68">
        <f t="shared" si="12"/>
        <v>75400</v>
      </c>
      <c r="O29" s="68">
        <f t="shared" si="13"/>
        <v>90300</v>
      </c>
      <c r="P29" s="68">
        <f t="shared" si="14"/>
        <v>95500</v>
      </c>
      <c r="Q29" s="68">
        <f t="shared" si="15"/>
        <v>103200</v>
      </c>
      <c r="R29" s="68">
        <f t="shared" si="16"/>
        <v>114500</v>
      </c>
      <c r="S29" s="68">
        <f t="shared" si="17"/>
        <v>120700</v>
      </c>
      <c r="T29" s="68">
        <f t="shared" si="18"/>
        <v>128000</v>
      </c>
      <c r="U29" s="68">
        <f t="shared" si="19"/>
        <v>135800</v>
      </c>
      <c r="V29" s="68">
        <f t="shared" si="20"/>
        <v>151400</v>
      </c>
      <c r="W29" s="68"/>
      <c r="X29" s="68"/>
      <c r="Y29" s="68"/>
      <c r="Z29" s="68"/>
      <c r="AA29" s="224"/>
    </row>
    <row r="30" spans="1:27" s="18" customFormat="1" ht="15.75">
      <c r="A30" s="224"/>
      <c r="B30" s="63">
        <v>20</v>
      </c>
      <c r="C30" s="68">
        <f t="shared" si="1"/>
        <v>31100</v>
      </c>
      <c r="D30" s="68">
        <f t="shared" si="2"/>
        <v>31400</v>
      </c>
      <c r="E30" s="68">
        <f t="shared" si="3"/>
        <v>32000</v>
      </c>
      <c r="F30" s="68">
        <f t="shared" si="4"/>
        <v>33700</v>
      </c>
      <c r="G30" s="68">
        <f t="shared" si="5"/>
        <v>36400</v>
      </c>
      <c r="H30" s="68">
        <f t="shared" si="6"/>
        <v>37600</v>
      </c>
      <c r="I30" s="68">
        <f t="shared" si="7"/>
        <v>39400</v>
      </c>
      <c r="J30" s="68">
        <f t="shared" si="8"/>
        <v>46100</v>
      </c>
      <c r="K30" s="68">
        <f t="shared" si="9"/>
        <v>50400</v>
      </c>
      <c r="L30" s="68">
        <f t="shared" si="10"/>
        <v>59100</v>
      </c>
      <c r="M30" s="68">
        <f t="shared" si="11"/>
        <v>66300</v>
      </c>
      <c r="N30" s="68">
        <f t="shared" si="12"/>
        <v>77700</v>
      </c>
      <c r="O30" s="68">
        <f t="shared" si="13"/>
        <v>93000</v>
      </c>
      <c r="P30" s="68">
        <f t="shared" si="14"/>
        <v>98400</v>
      </c>
      <c r="Q30" s="68">
        <f t="shared" si="15"/>
        <v>106300</v>
      </c>
      <c r="R30" s="68">
        <f t="shared" si="16"/>
        <v>117900</v>
      </c>
      <c r="S30" s="68">
        <f t="shared" si="17"/>
        <v>124300</v>
      </c>
      <c r="T30" s="68">
        <f t="shared" si="18"/>
        <v>131800</v>
      </c>
      <c r="U30" s="68">
        <f t="shared" si="19"/>
        <v>139900</v>
      </c>
      <c r="V30" s="68">
        <f t="shared" si="20"/>
        <v>155900</v>
      </c>
      <c r="W30" s="68"/>
      <c r="X30" s="68"/>
      <c r="Y30" s="68"/>
      <c r="Z30" s="68"/>
      <c r="AA30" s="224"/>
    </row>
    <row r="31" spans="1:27" s="18" customFormat="1" ht="15.75">
      <c r="A31" s="224"/>
      <c r="B31" s="63">
        <v>21</v>
      </c>
      <c r="C31" s="68">
        <f t="shared" si="1"/>
        <v>32000</v>
      </c>
      <c r="D31" s="68">
        <f t="shared" si="2"/>
        <v>32300</v>
      </c>
      <c r="E31" s="68">
        <f t="shared" si="3"/>
        <v>33000</v>
      </c>
      <c r="F31" s="68">
        <f t="shared" si="4"/>
        <v>34700</v>
      </c>
      <c r="G31" s="68">
        <f t="shared" si="5"/>
        <v>37500</v>
      </c>
      <c r="H31" s="68">
        <f t="shared" si="6"/>
        <v>38700</v>
      </c>
      <c r="I31" s="68">
        <f t="shared" si="7"/>
        <v>40600</v>
      </c>
      <c r="J31" s="68">
        <f t="shared" si="8"/>
        <v>47500</v>
      </c>
      <c r="K31" s="68">
        <f t="shared" si="9"/>
        <v>51900</v>
      </c>
      <c r="L31" s="68">
        <f t="shared" si="10"/>
        <v>60900</v>
      </c>
      <c r="M31" s="68">
        <f t="shared" si="11"/>
        <v>68300</v>
      </c>
      <c r="N31" s="68">
        <f t="shared" si="12"/>
        <v>80000</v>
      </c>
      <c r="O31" s="68">
        <f t="shared" si="13"/>
        <v>95800</v>
      </c>
      <c r="P31" s="68">
        <f t="shared" si="14"/>
        <v>101400</v>
      </c>
      <c r="Q31" s="68">
        <f t="shared" si="15"/>
        <v>109500</v>
      </c>
      <c r="R31" s="68">
        <f t="shared" si="16"/>
        <v>121400</v>
      </c>
      <c r="S31" s="68">
        <f t="shared" si="17"/>
        <v>128000</v>
      </c>
      <c r="T31" s="68">
        <f t="shared" si="18"/>
        <v>135800</v>
      </c>
      <c r="U31" s="68">
        <f t="shared" si="19"/>
        <v>144100</v>
      </c>
      <c r="V31" s="68">
        <f t="shared" si="20"/>
        <v>160600</v>
      </c>
      <c r="W31" s="68"/>
      <c r="X31" s="68"/>
      <c r="Y31" s="68"/>
      <c r="Z31" s="68"/>
      <c r="AA31" s="224"/>
    </row>
    <row r="32" spans="1:27" s="18" customFormat="1" ht="15.75">
      <c r="A32" s="224"/>
      <c r="B32" s="63">
        <v>22</v>
      </c>
      <c r="C32" s="68">
        <f t="shared" si="1"/>
        <v>33000</v>
      </c>
      <c r="D32" s="68">
        <f t="shared" si="2"/>
        <v>33300</v>
      </c>
      <c r="E32" s="68">
        <f t="shared" si="3"/>
        <v>34000</v>
      </c>
      <c r="F32" s="68">
        <f t="shared" si="4"/>
        <v>35700</v>
      </c>
      <c r="G32" s="68">
        <f t="shared" si="5"/>
        <v>38600</v>
      </c>
      <c r="H32" s="68">
        <f t="shared" si="6"/>
        <v>39900</v>
      </c>
      <c r="I32" s="68">
        <f t="shared" si="7"/>
        <v>41800</v>
      </c>
      <c r="J32" s="68">
        <f t="shared" si="8"/>
        <v>48900</v>
      </c>
      <c r="K32" s="68">
        <f t="shared" si="9"/>
        <v>53500</v>
      </c>
      <c r="L32" s="68">
        <f t="shared" si="10"/>
        <v>62700</v>
      </c>
      <c r="M32" s="68">
        <f t="shared" si="11"/>
        <v>70300</v>
      </c>
      <c r="N32" s="68">
        <f t="shared" si="12"/>
        <v>82400</v>
      </c>
      <c r="O32" s="68">
        <f t="shared" si="13"/>
        <v>98700</v>
      </c>
      <c r="P32" s="68">
        <f t="shared" si="14"/>
        <v>104400</v>
      </c>
      <c r="Q32" s="68">
        <f t="shared" si="15"/>
        <v>112800</v>
      </c>
      <c r="R32" s="68">
        <f t="shared" si="16"/>
        <v>125000</v>
      </c>
      <c r="S32" s="68">
        <f t="shared" si="17"/>
        <v>131800</v>
      </c>
      <c r="T32" s="68">
        <f t="shared" si="18"/>
        <v>139900</v>
      </c>
      <c r="U32" s="68">
        <f t="shared" si="19"/>
        <v>148400</v>
      </c>
      <c r="V32" s="68">
        <f t="shared" si="20"/>
        <v>165400</v>
      </c>
      <c r="W32" s="68"/>
      <c r="X32" s="68"/>
      <c r="Y32" s="68"/>
      <c r="Z32" s="68"/>
      <c r="AA32" s="224"/>
    </row>
    <row r="33" spans="1:27" s="18" customFormat="1" ht="15.75">
      <c r="A33" s="224"/>
      <c r="B33" s="63">
        <v>23</v>
      </c>
      <c r="C33" s="68">
        <f t="shared" si="1"/>
        <v>34000</v>
      </c>
      <c r="D33" s="68">
        <f t="shared" si="2"/>
        <v>34300</v>
      </c>
      <c r="E33" s="68">
        <f t="shared" si="3"/>
        <v>35000</v>
      </c>
      <c r="F33" s="68">
        <f t="shared" si="4"/>
        <v>36800</v>
      </c>
      <c r="G33" s="68">
        <f t="shared" si="5"/>
        <v>39800</v>
      </c>
      <c r="H33" s="68">
        <f t="shared" si="6"/>
        <v>41100</v>
      </c>
      <c r="I33" s="68">
        <f t="shared" si="7"/>
        <v>43100</v>
      </c>
      <c r="J33" s="68">
        <f t="shared" si="8"/>
        <v>50400</v>
      </c>
      <c r="K33" s="68">
        <f t="shared" si="9"/>
        <v>55100</v>
      </c>
      <c r="L33" s="68">
        <f t="shared" si="10"/>
        <v>64600</v>
      </c>
      <c r="M33" s="68">
        <f t="shared" si="11"/>
        <v>72400</v>
      </c>
      <c r="N33" s="68">
        <f t="shared" si="12"/>
        <v>84900</v>
      </c>
      <c r="O33" s="68">
        <f t="shared" si="13"/>
        <v>101700</v>
      </c>
      <c r="P33" s="68">
        <f t="shared" si="14"/>
        <v>107500</v>
      </c>
      <c r="Q33" s="68">
        <f t="shared" si="15"/>
        <v>116200</v>
      </c>
      <c r="R33" s="68">
        <f t="shared" si="16"/>
        <v>128800</v>
      </c>
      <c r="S33" s="68">
        <f t="shared" si="17"/>
        <v>135800</v>
      </c>
      <c r="T33" s="68">
        <f t="shared" si="18"/>
        <v>144100</v>
      </c>
      <c r="U33" s="68">
        <f t="shared" si="19"/>
        <v>152900</v>
      </c>
      <c r="V33" s="68">
        <f t="shared" si="20"/>
        <v>170400</v>
      </c>
      <c r="W33" s="68"/>
      <c r="X33" s="68"/>
      <c r="Y33" s="68"/>
      <c r="Z33" s="68"/>
      <c r="AA33" s="224"/>
    </row>
    <row r="34" spans="1:27" s="18" customFormat="1" ht="15.75">
      <c r="A34" s="224"/>
      <c r="B34" s="63">
        <v>24</v>
      </c>
      <c r="C34" s="68">
        <f t="shared" si="1"/>
        <v>35000</v>
      </c>
      <c r="D34" s="68">
        <f t="shared" si="2"/>
        <v>35300</v>
      </c>
      <c r="E34" s="68">
        <f t="shared" si="3"/>
        <v>36100</v>
      </c>
      <c r="F34" s="68">
        <f t="shared" si="4"/>
        <v>37900</v>
      </c>
      <c r="G34" s="68">
        <f t="shared" si="5"/>
        <v>41000</v>
      </c>
      <c r="H34" s="68">
        <f t="shared" si="6"/>
        <v>42300</v>
      </c>
      <c r="I34" s="68">
        <f t="shared" si="7"/>
        <v>44400</v>
      </c>
      <c r="J34" s="68">
        <f t="shared" si="8"/>
        <v>51900</v>
      </c>
      <c r="K34" s="68">
        <f t="shared" si="9"/>
        <v>56800</v>
      </c>
      <c r="L34" s="68">
        <f t="shared" si="10"/>
        <v>66500</v>
      </c>
      <c r="M34" s="68">
        <f t="shared" si="11"/>
        <v>74600</v>
      </c>
      <c r="N34" s="68">
        <f t="shared" si="12"/>
        <v>87400</v>
      </c>
      <c r="O34" s="68">
        <f t="shared" si="13"/>
        <v>104800</v>
      </c>
      <c r="P34" s="68">
        <f t="shared" si="14"/>
        <v>110700</v>
      </c>
      <c r="Q34" s="68">
        <f t="shared" si="15"/>
        <v>119700</v>
      </c>
      <c r="R34" s="68">
        <f t="shared" si="16"/>
        <v>132700</v>
      </c>
      <c r="S34" s="68">
        <f t="shared" si="17"/>
        <v>139900</v>
      </c>
      <c r="T34" s="68">
        <f t="shared" si="18"/>
        <v>148400</v>
      </c>
      <c r="U34" s="68">
        <f t="shared" si="19"/>
        <v>157500</v>
      </c>
      <c r="V34" s="68">
        <f t="shared" si="20"/>
        <v>175500</v>
      </c>
      <c r="W34" s="68"/>
      <c r="X34" s="68"/>
      <c r="Y34" s="68"/>
      <c r="Z34" s="68"/>
      <c r="AA34" s="224"/>
    </row>
    <row r="35" spans="1:27" s="18" customFormat="1" ht="15.75">
      <c r="A35" s="224"/>
      <c r="B35" s="63">
        <v>25</v>
      </c>
      <c r="C35" s="68">
        <f t="shared" si="1"/>
        <v>36100</v>
      </c>
      <c r="D35" s="68">
        <f t="shared" si="2"/>
        <v>36400</v>
      </c>
      <c r="E35" s="68">
        <f t="shared" si="3"/>
        <v>37200</v>
      </c>
      <c r="F35" s="68">
        <f t="shared" si="4"/>
        <v>39000</v>
      </c>
      <c r="G35" s="68">
        <f t="shared" si="5"/>
        <v>42200</v>
      </c>
      <c r="H35" s="68">
        <f t="shared" si="6"/>
        <v>43600</v>
      </c>
      <c r="I35" s="68">
        <f t="shared" si="7"/>
        <v>45700</v>
      </c>
      <c r="J35" s="68">
        <f t="shared" si="8"/>
        <v>53500</v>
      </c>
      <c r="K35" s="68">
        <f t="shared" si="9"/>
        <v>58500</v>
      </c>
      <c r="L35" s="68">
        <f t="shared" si="10"/>
        <v>68500</v>
      </c>
      <c r="M35" s="68">
        <f t="shared" si="11"/>
        <v>76800</v>
      </c>
      <c r="N35" s="68">
        <f t="shared" si="12"/>
        <v>90000</v>
      </c>
      <c r="O35" s="68">
        <f t="shared" si="13"/>
        <v>107900</v>
      </c>
      <c r="P35" s="68">
        <f t="shared" si="14"/>
        <v>114000</v>
      </c>
      <c r="Q35" s="68">
        <f t="shared" si="15"/>
        <v>123300</v>
      </c>
      <c r="R35" s="68">
        <f t="shared" si="16"/>
        <v>136700</v>
      </c>
      <c r="S35" s="68">
        <f t="shared" si="17"/>
        <v>144100</v>
      </c>
      <c r="T35" s="68">
        <f t="shared" si="18"/>
        <v>152900</v>
      </c>
      <c r="U35" s="68">
        <f t="shared" si="19"/>
        <v>162200</v>
      </c>
      <c r="V35" s="68">
        <f t="shared" si="20"/>
        <v>180800</v>
      </c>
      <c r="W35" s="68"/>
      <c r="X35" s="68"/>
      <c r="Y35" s="68"/>
      <c r="Z35" s="68"/>
      <c r="AA35" s="224"/>
    </row>
    <row r="36" spans="1:27" s="18" customFormat="1" ht="15.75">
      <c r="A36" s="224"/>
      <c r="B36" s="63">
        <v>26</v>
      </c>
      <c r="C36" s="68">
        <f t="shared" si="1"/>
        <v>37200</v>
      </c>
      <c r="D36" s="68">
        <f t="shared" si="2"/>
        <v>37500</v>
      </c>
      <c r="E36" s="68">
        <f t="shared" si="3"/>
        <v>38300</v>
      </c>
      <c r="F36" s="68">
        <f t="shared" si="4"/>
        <v>40200</v>
      </c>
      <c r="G36" s="68">
        <f t="shared" si="5"/>
        <v>43500</v>
      </c>
      <c r="H36" s="68">
        <f t="shared" si="6"/>
        <v>44900</v>
      </c>
      <c r="I36" s="68">
        <f t="shared" si="7"/>
        <v>47100</v>
      </c>
      <c r="J36" s="68">
        <f t="shared" si="8"/>
        <v>55100</v>
      </c>
      <c r="K36" s="68">
        <f t="shared" si="9"/>
        <v>60300</v>
      </c>
      <c r="L36" s="68">
        <f t="shared" si="10"/>
        <v>70600</v>
      </c>
      <c r="M36" s="68">
        <f t="shared" si="11"/>
        <v>79100</v>
      </c>
      <c r="N36" s="68">
        <f t="shared" si="12"/>
        <v>92700</v>
      </c>
      <c r="O36" s="68">
        <f t="shared" si="13"/>
        <v>111100</v>
      </c>
      <c r="P36" s="68">
        <f t="shared" si="14"/>
        <v>117400</v>
      </c>
      <c r="Q36" s="68">
        <f t="shared" si="15"/>
        <v>127000</v>
      </c>
      <c r="R36" s="68">
        <f t="shared" si="16"/>
        <v>140800</v>
      </c>
      <c r="S36" s="68">
        <f t="shared" si="17"/>
        <v>148400</v>
      </c>
      <c r="T36" s="68">
        <f t="shared" si="18"/>
        <v>157500</v>
      </c>
      <c r="U36" s="68">
        <f t="shared" si="19"/>
        <v>167100</v>
      </c>
      <c r="V36" s="68">
        <f t="shared" si="20"/>
        <v>186200</v>
      </c>
      <c r="W36" s="68"/>
      <c r="X36" s="68"/>
      <c r="Y36" s="68"/>
      <c r="Z36" s="68"/>
      <c r="AA36" s="224"/>
    </row>
    <row r="37" spans="1:27" s="18" customFormat="1" ht="15.75">
      <c r="A37" s="224"/>
      <c r="B37" s="63">
        <v>27</v>
      </c>
      <c r="C37" s="68">
        <f t="shared" si="1"/>
        <v>38300</v>
      </c>
      <c r="D37" s="68">
        <f t="shared" si="2"/>
        <v>38600</v>
      </c>
      <c r="E37" s="68">
        <f t="shared" si="3"/>
        <v>39400</v>
      </c>
      <c r="F37" s="68">
        <f t="shared" si="4"/>
        <v>41400</v>
      </c>
      <c r="G37" s="68">
        <f t="shared" si="5"/>
        <v>44800</v>
      </c>
      <c r="H37" s="68">
        <f t="shared" si="6"/>
        <v>46200</v>
      </c>
      <c r="I37" s="68">
        <f t="shared" si="7"/>
        <v>48500</v>
      </c>
      <c r="J37" s="68">
        <f t="shared" si="8"/>
        <v>56800</v>
      </c>
      <c r="K37" s="68">
        <f t="shared" si="9"/>
        <v>62100</v>
      </c>
      <c r="L37" s="68">
        <f t="shared" si="10"/>
        <v>72700</v>
      </c>
      <c r="M37" s="68">
        <f t="shared" si="11"/>
        <v>81500</v>
      </c>
      <c r="N37" s="68">
        <f t="shared" si="12"/>
        <v>95500</v>
      </c>
      <c r="O37" s="68">
        <f t="shared" si="13"/>
        <v>114400</v>
      </c>
      <c r="P37" s="68">
        <f t="shared" si="14"/>
        <v>120900</v>
      </c>
      <c r="Q37" s="68">
        <f t="shared" si="15"/>
        <v>130800</v>
      </c>
      <c r="R37" s="68">
        <f t="shared" si="16"/>
        <v>145000</v>
      </c>
      <c r="S37" s="68">
        <f t="shared" si="17"/>
        <v>152900</v>
      </c>
      <c r="T37" s="68">
        <f t="shared" si="18"/>
        <v>162200</v>
      </c>
      <c r="U37" s="68">
        <f t="shared" si="19"/>
        <v>172100</v>
      </c>
      <c r="V37" s="68">
        <f t="shared" si="20"/>
        <v>191800</v>
      </c>
      <c r="W37" s="68"/>
      <c r="X37" s="68"/>
      <c r="Y37" s="68"/>
      <c r="Z37" s="68"/>
      <c r="AA37" s="224"/>
    </row>
    <row r="38" spans="1:27" s="18" customFormat="1" ht="15.75">
      <c r="A38" s="224"/>
      <c r="B38" s="63">
        <v>28</v>
      </c>
      <c r="C38" s="68">
        <f t="shared" si="1"/>
        <v>39400</v>
      </c>
      <c r="D38" s="68">
        <f t="shared" si="2"/>
        <v>39800</v>
      </c>
      <c r="E38" s="68">
        <f t="shared" si="3"/>
        <v>40600</v>
      </c>
      <c r="F38" s="68">
        <f t="shared" si="4"/>
        <v>42600</v>
      </c>
      <c r="G38" s="68">
        <f t="shared" si="5"/>
        <v>46100</v>
      </c>
      <c r="H38" s="68">
        <f t="shared" si="6"/>
        <v>47600</v>
      </c>
      <c r="I38" s="68">
        <f t="shared" si="7"/>
        <v>50000</v>
      </c>
      <c r="J38" s="68">
        <f t="shared" si="8"/>
        <v>58500</v>
      </c>
      <c r="K38" s="68">
        <f t="shared" si="9"/>
        <v>64000</v>
      </c>
      <c r="L38" s="68">
        <f t="shared" si="10"/>
        <v>74900</v>
      </c>
      <c r="M38" s="68">
        <f t="shared" si="11"/>
        <v>83900</v>
      </c>
      <c r="N38" s="68">
        <f t="shared" si="12"/>
        <v>98400</v>
      </c>
      <c r="O38" s="68">
        <f t="shared" si="13"/>
        <v>117800</v>
      </c>
      <c r="P38" s="68">
        <f t="shared" si="14"/>
        <v>124500</v>
      </c>
      <c r="Q38" s="68">
        <f t="shared" si="15"/>
        <v>134700</v>
      </c>
      <c r="R38" s="68">
        <f t="shared" si="16"/>
        <v>149400</v>
      </c>
      <c r="S38" s="68">
        <f t="shared" si="17"/>
        <v>157500</v>
      </c>
      <c r="T38" s="68">
        <f t="shared" si="18"/>
        <v>167100</v>
      </c>
      <c r="U38" s="68">
        <f t="shared" si="19"/>
        <v>177300</v>
      </c>
      <c r="V38" s="68">
        <f t="shared" si="20"/>
        <v>197600</v>
      </c>
      <c r="W38" s="68"/>
      <c r="X38" s="68"/>
      <c r="Y38" s="68"/>
      <c r="Z38" s="68"/>
      <c r="AA38" s="224"/>
    </row>
    <row r="39" spans="1:27" s="18" customFormat="1" ht="15.75">
      <c r="A39" s="224"/>
      <c r="B39" s="63">
        <v>29</v>
      </c>
      <c r="C39" s="68">
        <f t="shared" si="1"/>
        <v>40600</v>
      </c>
      <c r="D39" s="68">
        <f t="shared" si="2"/>
        <v>41000</v>
      </c>
      <c r="E39" s="68">
        <f t="shared" si="3"/>
        <v>41800</v>
      </c>
      <c r="F39" s="68">
        <f t="shared" si="4"/>
        <v>43900</v>
      </c>
      <c r="G39" s="68">
        <f t="shared" si="5"/>
        <v>47500</v>
      </c>
      <c r="H39" s="68">
        <f t="shared" si="6"/>
        <v>49000</v>
      </c>
      <c r="I39" s="68">
        <f t="shared" si="7"/>
        <v>51500</v>
      </c>
      <c r="J39" s="68">
        <f t="shared" si="8"/>
        <v>60300</v>
      </c>
      <c r="K39" s="68">
        <f t="shared" si="9"/>
        <v>65900</v>
      </c>
      <c r="L39" s="68">
        <f t="shared" si="10"/>
        <v>77100</v>
      </c>
      <c r="M39" s="68">
        <f t="shared" si="11"/>
        <v>86400</v>
      </c>
      <c r="N39" s="68">
        <f t="shared" si="12"/>
        <v>101400</v>
      </c>
      <c r="O39" s="68">
        <f t="shared" si="13"/>
        <v>121300</v>
      </c>
      <c r="P39" s="68">
        <f t="shared" si="14"/>
        <v>128200</v>
      </c>
      <c r="Q39" s="68">
        <f t="shared" si="15"/>
        <v>138700</v>
      </c>
      <c r="R39" s="68">
        <f t="shared" si="16"/>
        <v>153900</v>
      </c>
      <c r="S39" s="68">
        <f t="shared" si="17"/>
        <v>162200</v>
      </c>
      <c r="T39" s="68">
        <f t="shared" si="18"/>
        <v>172100</v>
      </c>
      <c r="U39" s="68">
        <f t="shared" si="19"/>
        <v>182600</v>
      </c>
      <c r="V39" s="68">
        <f t="shared" si="20"/>
        <v>203500</v>
      </c>
      <c r="W39" s="68"/>
      <c r="X39" s="68"/>
      <c r="Y39" s="68"/>
      <c r="Z39" s="68"/>
      <c r="AA39" s="224"/>
    </row>
    <row r="40" spans="1:27" s="18" customFormat="1" ht="15.75">
      <c r="A40" s="224"/>
      <c r="B40" s="63">
        <v>30</v>
      </c>
      <c r="C40" s="68">
        <f t="shared" si="1"/>
        <v>41800</v>
      </c>
      <c r="D40" s="68">
        <f t="shared" si="2"/>
        <v>42200</v>
      </c>
      <c r="E40" s="68">
        <f t="shared" si="3"/>
        <v>43100</v>
      </c>
      <c r="F40" s="68">
        <f t="shared" si="4"/>
        <v>45200</v>
      </c>
      <c r="G40" s="68">
        <f t="shared" si="5"/>
        <v>48900</v>
      </c>
      <c r="H40" s="68">
        <f t="shared" si="6"/>
        <v>50500</v>
      </c>
      <c r="I40" s="68">
        <f t="shared" si="7"/>
        <v>53000</v>
      </c>
      <c r="J40" s="68">
        <f t="shared" si="8"/>
        <v>62100</v>
      </c>
      <c r="K40" s="68">
        <f t="shared" si="9"/>
        <v>67900</v>
      </c>
      <c r="L40" s="68">
        <f t="shared" si="10"/>
        <v>79400</v>
      </c>
      <c r="M40" s="68">
        <f t="shared" si="11"/>
        <v>89000</v>
      </c>
      <c r="N40" s="68">
        <f t="shared" si="12"/>
        <v>104400</v>
      </c>
      <c r="O40" s="68">
        <f t="shared" si="13"/>
        <v>124900</v>
      </c>
      <c r="P40" s="68">
        <f t="shared" si="14"/>
        <v>132000</v>
      </c>
      <c r="Q40" s="68">
        <f t="shared" si="15"/>
        <v>142900</v>
      </c>
      <c r="R40" s="68">
        <f t="shared" si="16"/>
        <v>158500</v>
      </c>
      <c r="S40" s="68">
        <f t="shared" si="17"/>
        <v>167100</v>
      </c>
      <c r="T40" s="68">
        <f t="shared" si="18"/>
        <v>177300</v>
      </c>
      <c r="U40" s="68">
        <f t="shared" si="19"/>
        <v>188100</v>
      </c>
      <c r="V40" s="68"/>
      <c r="W40" s="68"/>
      <c r="X40" s="68"/>
      <c r="Y40" s="68"/>
      <c r="Z40" s="68"/>
      <c r="AA40" s="224"/>
    </row>
    <row r="41" spans="1:27" s="18" customFormat="1" ht="15.75">
      <c r="A41" s="224"/>
      <c r="B41" s="63">
        <v>31</v>
      </c>
      <c r="C41" s="68">
        <f t="shared" si="1"/>
        <v>43100</v>
      </c>
      <c r="D41" s="68">
        <f t="shared" si="2"/>
        <v>43500</v>
      </c>
      <c r="E41" s="68">
        <f t="shared" si="3"/>
        <v>44400</v>
      </c>
      <c r="F41" s="68">
        <f t="shared" si="4"/>
        <v>46600</v>
      </c>
      <c r="G41" s="68">
        <f t="shared" si="5"/>
        <v>50400</v>
      </c>
      <c r="H41" s="68">
        <f t="shared" si="6"/>
        <v>52000</v>
      </c>
      <c r="I41" s="68">
        <f t="shared" si="7"/>
        <v>54600</v>
      </c>
      <c r="J41" s="68">
        <f t="shared" si="8"/>
        <v>64000</v>
      </c>
      <c r="K41" s="68">
        <f t="shared" si="9"/>
        <v>69900</v>
      </c>
      <c r="L41" s="68">
        <f t="shared" si="10"/>
        <v>81800</v>
      </c>
      <c r="M41" s="68">
        <f t="shared" si="11"/>
        <v>91700</v>
      </c>
      <c r="N41" s="68">
        <f t="shared" si="12"/>
        <v>107500</v>
      </c>
      <c r="O41" s="68">
        <f t="shared" si="13"/>
        <v>128600</v>
      </c>
      <c r="P41" s="68">
        <f t="shared" si="14"/>
        <v>136000</v>
      </c>
      <c r="Q41" s="68">
        <f t="shared" si="15"/>
        <v>147200</v>
      </c>
      <c r="R41" s="68">
        <f t="shared" si="16"/>
        <v>163300</v>
      </c>
      <c r="S41" s="68">
        <f t="shared" si="17"/>
        <v>172100</v>
      </c>
      <c r="T41" s="68">
        <f t="shared" si="18"/>
        <v>182600</v>
      </c>
      <c r="U41" s="68">
        <f t="shared" si="19"/>
        <v>193700</v>
      </c>
      <c r="V41" s="68"/>
      <c r="W41" s="68"/>
      <c r="X41" s="68"/>
      <c r="Y41" s="68"/>
      <c r="Z41" s="68"/>
      <c r="AA41" s="224"/>
    </row>
    <row r="42" spans="1:27" s="18" customFormat="1" ht="15.75">
      <c r="A42" s="224"/>
      <c r="B42" s="63">
        <v>32</v>
      </c>
      <c r="C42" s="68">
        <f t="shared" si="1"/>
        <v>44400</v>
      </c>
      <c r="D42" s="68">
        <f t="shared" si="2"/>
        <v>44800</v>
      </c>
      <c r="E42" s="68">
        <f t="shared" si="3"/>
        <v>45700</v>
      </c>
      <c r="F42" s="68">
        <f t="shared" si="4"/>
        <v>48000</v>
      </c>
      <c r="G42" s="68">
        <f t="shared" si="5"/>
        <v>51900</v>
      </c>
      <c r="H42" s="68">
        <f t="shared" si="6"/>
        <v>53600</v>
      </c>
      <c r="I42" s="68">
        <f t="shared" si="7"/>
        <v>56200</v>
      </c>
      <c r="J42" s="68">
        <f t="shared" si="8"/>
        <v>65900</v>
      </c>
      <c r="K42" s="68">
        <f t="shared" si="9"/>
        <v>72000</v>
      </c>
      <c r="L42" s="68">
        <f t="shared" si="10"/>
        <v>84300</v>
      </c>
      <c r="M42" s="68">
        <f t="shared" si="11"/>
        <v>94500</v>
      </c>
      <c r="N42" s="68">
        <f t="shared" si="12"/>
        <v>110700</v>
      </c>
      <c r="O42" s="68">
        <f t="shared" si="13"/>
        <v>132500</v>
      </c>
      <c r="P42" s="68">
        <f t="shared" si="14"/>
        <v>140100</v>
      </c>
      <c r="Q42" s="68">
        <f t="shared" si="15"/>
        <v>151600</v>
      </c>
      <c r="R42" s="68">
        <f t="shared" si="16"/>
        <v>168200</v>
      </c>
      <c r="S42" s="68">
        <f t="shared" si="17"/>
        <v>177300</v>
      </c>
      <c r="T42" s="68">
        <f t="shared" si="18"/>
        <v>188100</v>
      </c>
      <c r="U42" s="68">
        <f t="shared" si="19"/>
        <v>199500</v>
      </c>
      <c r="V42" s="68"/>
      <c r="W42" s="68"/>
      <c r="X42" s="68"/>
      <c r="Y42" s="68"/>
      <c r="Z42" s="68"/>
      <c r="AA42" s="224"/>
    </row>
    <row r="43" spans="1:27" s="18" customFormat="1" ht="15.75">
      <c r="A43" s="224"/>
      <c r="B43" s="63">
        <v>33</v>
      </c>
      <c r="C43" s="68">
        <f t="shared" si="1"/>
        <v>45700</v>
      </c>
      <c r="D43" s="68">
        <f t="shared" si="2"/>
        <v>46100</v>
      </c>
      <c r="E43" s="68">
        <f t="shared" si="3"/>
        <v>47100</v>
      </c>
      <c r="F43" s="68">
        <f t="shared" si="4"/>
        <v>49400</v>
      </c>
      <c r="G43" s="68">
        <f t="shared" si="5"/>
        <v>53500</v>
      </c>
      <c r="H43" s="68">
        <f t="shared" si="6"/>
        <v>55200</v>
      </c>
      <c r="I43" s="68">
        <f t="shared" si="7"/>
        <v>57900</v>
      </c>
      <c r="J43" s="68">
        <f t="shared" si="8"/>
        <v>67900</v>
      </c>
      <c r="K43" s="68">
        <f t="shared" si="9"/>
        <v>74200</v>
      </c>
      <c r="L43" s="68">
        <f t="shared" si="10"/>
        <v>86800</v>
      </c>
      <c r="M43" s="68">
        <f t="shared" si="11"/>
        <v>97300</v>
      </c>
      <c r="N43" s="68">
        <f t="shared" si="12"/>
        <v>114000</v>
      </c>
      <c r="O43" s="68">
        <f t="shared" si="13"/>
        <v>136500</v>
      </c>
      <c r="P43" s="68">
        <f t="shared" si="14"/>
        <v>144300</v>
      </c>
      <c r="Q43" s="68">
        <f t="shared" si="15"/>
        <v>156100</v>
      </c>
      <c r="R43" s="68">
        <f t="shared" si="16"/>
        <v>173200</v>
      </c>
      <c r="S43" s="68">
        <f t="shared" si="17"/>
        <v>182600</v>
      </c>
      <c r="T43" s="68">
        <f t="shared" si="18"/>
        <v>193700</v>
      </c>
      <c r="U43" s="68"/>
      <c r="V43" s="68"/>
      <c r="W43" s="68"/>
      <c r="X43" s="68"/>
      <c r="Y43" s="68"/>
      <c r="Z43" s="68"/>
      <c r="AA43" s="224"/>
    </row>
    <row r="44" spans="1:27" s="18" customFormat="1" ht="15.75">
      <c r="A44" s="224"/>
      <c r="B44" s="63">
        <v>34</v>
      </c>
      <c r="C44" s="68">
        <f t="shared" si="1"/>
        <v>47100</v>
      </c>
      <c r="D44" s="68">
        <f t="shared" si="2"/>
        <v>47500</v>
      </c>
      <c r="E44" s="68">
        <f t="shared" si="3"/>
        <v>48500</v>
      </c>
      <c r="F44" s="68">
        <f t="shared" si="4"/>
        <v>50900</v>
      </c>
      <c r="G44" s="68">
        <f t="shared" si="5"/>
        <v>55100</v>
      </c>
      <c r="H44" s="68">
        <f t="shared" si="6"/>
        <v>56900</v>
      </c>
      <c r="I44" s="68">
        <f t="shared" si="7"/>
        <v>59600</v>
      </c>
      <c r="J44" s="68">
        <f t="shared" si="8"/>
        <v>69900</v>
      </c>
      <c r="K44" s="68">
        <f t="shared" si="9"/>
        <v>76400</v>
      </c>
      <c r="L44" s="68">
        <f t="shared" si="10"/>
        <v>89400</v>
      </c>
      <c r="M44" s="68">
        <f t="shared" si="11"/>
        <v>100200</v>
      </c>
      <c r="N44" s="68">
        <f t="shared" si="12"/>
        <v>117400</v>
      </c>
      <c r="O44" s="68">
        <f t="shared" si="13"/>
        <v>140600</v>
      </c>
      <c r="P44" s="68">
        <f t="shared" si="14"/>
        <v>148600</v>
      </c>
      <c r="Q44" s="68">
        <f t="shared" si="15"/>
        <v>160800</v>
      </c>
      <c r="R44" s="68">
        <f t="shared" si="16"/>
        <v>178400</v>
      </c>
      <c r="S44" s="68">
        <f t="shared" si="17"/>
        <v>188100</v>
      </c>
      <c r="T44" s="68">
        <f t="shared" si="18"/>
        <v>199500</v>
      </c>
      <c r="U44" s="68"/>
      <c r="V44" s="68"/>
      <c r="W44" s="68"/>
      <c r="X44" s="68"/>
      <c r="Y44" s="68"/>
      <c r="Z44" s="68"/>
      <c r="AA44" s="224"/>
    </row>
    <row r="45" spans="1:27" s="18" customFormat="1" ht="15.75">
      <c r="A45" s="224"/>
      <c r="B45" s="63">
        <v>35</v>
      </c>
      <c r="C45" s="68">
        <f t="shared" si="1"/>
        <v>48500</v>
      </c>
      <c r="D45" s="68">
        <f t="shared" si="2"/>
        <v>48900</v>
      </c>
      <c r="E45" s="68">
        <f t="shared" si="3"/>
        <v>50000</v>
      </c>
      <c r="F45" s="68">
        <f t="shared" si="4"/>
        <v>52400</v>
      </c>
      <c r="G45" s="68">
        <f t="shared" si="5"/>
        <v>56800</v>
      </c>
      <c r="H45" s="68">
        <f t="shared" si="6"/>
        <v>58600</v>
      </c>
      <c r="I45" s="68">
        <f t="shared" si="7"/>
        <v>61400</v>
      </c>
      <c r="J45" s="68">
        <f t="shared" si="8"/>
        <v>72000</v>
      </c>
      <c r="K45" s="68">
        <f t="shared" si="9"/>
        <v>78700</v>
      </c>
      <c r="L45" s="68">
        <f t="shared" si="10"/>
        <v>92100</v>
      </c>
      <c r="M45" s="68">
        <f t="shared" si="11"/>
        <v>103200</v>
      </c>
      <c r="N45" s="68">
        <f t="shared" si="12"/>
        <v>120900</v>
      </c>
      <c r="O45" s="68">
        <f t="shared" si="13"/>
        <v>144800</v>
      </c>
      <c r="P45" s="68">
        <f t="shared" si="14"/>
        <v>153100</v>
      </c>
      <c r="Q45" s="68">
        <f t="shared" si="15"/>
        <v>165600</v>
      </c>
      <c r="R45" s="68">
        <f t="shared" si="16"/>
        <v>183800</v>
      </c>
      <c r="S45" s="68">
        <f t="shared" si="17"/>
        <v>193700</v>
      </c>
      <c r="T45" s="68"/>
      <c r="U45" s="68"/>
      <c r="V45" s="68"/>
      <c r="W45" s="68"/>
      <c r="X45" s="68"/>
      <c r="Y45" s="68"/>
      <c r="Z45" s="68"/>
      <c r="AA45" s="224"/>
    </row>
    <row r="46" spans="1:27" s="18" customFormat="1" ht="15.75">
      <c r="A46" s="224"/>
      <c r="B46" s="63">
        <v>36</v>
      </c>
      <c r="C46" s="68">
        <f t="shared" si="1"/>
        <v>50000</v>
      </c>
      <c r="D46" s="68">
        <f t="shared" si="2"/>
        <v>50400</v>
      </c>
      <c r="E46" s="68">
        <f t="shared" si="3"/>
        <v>51500</v>
      </c>
      <c r="F46" s="68">
        <f t="shared" si="4"/>
        <v>54000</v>
      </c>
      <c r="G46" s="68">
        <f t="shared" si="5"/>
        <v>58500</v>
      </c>
      <c r="H46" s="68">
        <f t="shared" si="6"/>
        <v>60400</v>
      </c>
      <c r="I46" s="68">
        <f t="shared" si="7"/>
        <v>63200</v>
      </c>
      <c r="J46" s="68">
        <f t="shared" si="8"/>
        <v>74200</v>
      </c>
      <c r="K46" s="68">
        <f t="shared" si="9"/>
        <v>81100</v>
      </c>
      <c r="L46" s="68">
        <f t="shared" si="10"/>
        <v>94900</v>
      </c>
      <c r="M46" s="68">
        <f t="shared" si="11"/>
        <v>106300</v>
      </c>
      <c r="N46" s="68">
        <f t="shared" si="12"/>
        <v>124500</v>
      </c>
      <c r="O46" s="68">
        <f t="shared" si="13"/>
        <v>149100</v>
      </c>
      <c r="P46" s="68">
        <f t="shared" si="14"/>
        <v>157700</v>
      </c>
      <c r="Q46" s="68">
        <f t="shared" si="15"/>
        <v>170600</v>
      </c>
      <c r="R46" s="68">
        <f t="shared" si="16"/>
        <v>189300</v>
      </c>
      <c r="S46" s="68">
        <f t="shared" si="17"/>
        <v>199500</v>
      </c>
      <c r="T46" s="68"/>
      <c r="U46" s="68"/>
      <c r="V46" s="68"/>
      <c r="W46" s="68"/>
      <c r="X46" s="68"/>
      <c r="Y46" s="68"/>
      <c r="Z46" s="68"/>
      <c r="AA46" s="224"/>
    </row>
    <row r="47" spans="1:27" s="18" customFormat="1" ht="15.75">
      <c r="A47" s="224"/>
      <c r="B47" s="63">
        <v>37</v>
      </c>
      <c r="C47" s="68">
        <f t="shared" si="1"/>
        <v>51500</v>
      </c>
      <c r="D47" s="68">
        <f t="shared" si="2"/>
        <v>51900</v>
      </c>
      <c r="E47" s="68">
        <f t="shared" si="3"/>
        <v>53000</v>
      </c>
      <c r="F47" s="68">
        <f t="shared" si="4"/>
        <v>55600</v>
      </c>
      <c r="G47" s="68">
        <f t="shared" si="5"/>
        <v>60300</v>
      </c>
      <c r="H47" s="68">
        <f t="shared" si="6"/>
        <v>62200</v>
      </c>
      <c r="I47" s="68">
        <f t="shared" si="7"/>
        <v>65100</v>
      </c>
      <c r="J47" s="68">
        <f t="shared" si="8"/>
        <v>76400</v>
      </c>
      <c r="K47" s="68">
        <f t="shared" si="9"/>
        <v>83500</v>
      </c>
      <c r="L47" s="68">
        <f t="shared" si="10"/>
        <v>97700</v>
      </c>
      <c r="M47" s="68">
        <f t="shared" si="11"/>
        <v>109500</v>
      </c>
      <c r="N47" s="68">
        <f t="shared" si="12"/>
        <v>128200</v>
      </c>
      <c r="O47" s="68">
        <f t="shared" si="13"/>
        <v>153600</v>
      </c>
      <c r="P47" s="68">
        <f t="shared" si="14"/>
        <v>162400</v>
      </c>
      <c r="Q47" s="68">
        <f t="shared" si="15"/>
        <v>175700</v>
      </c>
      <c r="R47" s="68">
        <f t="shared" si="16"/>
        <v>195000</v>
      </c>
      <c r="S47" s="68"/>
      <c r="T47" s="68"/>
      <c r="U47" s="68"/>
      <c r="V47" s="68"/>
      <c r="W47" s="68"/>
      <c r="X47" s="68"/>
      <c r="Y47" s="68"/>
      <c r="Z47" s="68"/>
      <c r="AA47" s="224"/>
    </row>
    <row r="48" spans="1:27" s="18" customFormat="1" ht="15.75">
      <c r="A48" s="224"/>
      <c r="B48" s="63">
        <v>38</v>
      </c>
      <c r="C48" s="68">
        <f t="shared" si="1"/>
        <v>53000</v>
      </c>
      <c r="D48" s="68">
        <f t="shared" si="2"/>
        <v>53500</v>
      </c>
      <c r="E48" s="68">
        <f t="shared" si="3"/>
        <v>54600</v>
      </c>
      <c r="F48" s="68">
        <f t="shared" si="4"/>
        <v>57300</v>
      </c>
      <c r="G48" s="68">
        <f t="shared" si="5"/>
        <v>62100</v>
      </c>
      <c r="H48" s="68">
        <f t="shared" si="6"/>
        <v>64100</v>
      </c>
      <c r="I48" s="68">
        <f t="shared" si="7"/>
        <v>67100</v>
      </c>
      <c r="J48" s="68">
        <f t="shared" si="8"/>
        <v>78700</v>
      </c>
      <c r="K48" s="68">
        <f t="shared" si="9"/>
        <v>86000</v>
      </c>
      <c r="L48" s="68">
        <f t="shared" si="10"/>
        <v>100600</v>
      </c>
      <c r="M48" s="68">
        <f t="shared" si="11"/>
        <v>112800</v>
      </c>
      <c r="N48" s="68">
        <f t="shared" si="12"/>
        <v>132000</v>
      </c>
      <c r="O48" s="68">
        <f t="shared" si="13"/>
        <v>158200</v>
      </c>
      <c r="P48" s="68">
        <f t="shared" si="14"/>
        <v>167300</v>
      </c>
      <c r="Q48" s="68">
        <f t="shared" si="15"/>
        <v>181000</v>
      </c>
      <c r="R48" s="68"/>
      <c r="S48" s="68"/>
      <c r="T48" s="68"/>
      <c r="U48" s="68"/>
      <c r="V48" s="68"/>
      <c r="W48" s="68"/>
      <c r="X48" s="68"/>
      <c r="Y48" s="68"/>
      <c r="Z48" s="68"/>
      <c r="AA48" s="224"/>
    </row>
    <row r="49" spans="1:27" s="18" customFormat="1" ht="15.75">
      <c r="A49" s="224"/>
      <c r="B49" s="63">
        <v>39</v>
      </c>
      <c r="C49" s="68">
        <f t="shared" si="1"/>
        <v>54600</v>
      </c>
      <c r="D49" s="68">
        <f t="shared" si="2"/>
        <v>55100</v>
      </c>
      <c r="E49" s="68">
        <f t="shared" si="3"/>
        <v>56200</v>
      </c>
      <c r="F49" s="68">
        <f t="shared" si="4"/>
        <v>59000</v>
      </c>
      <c r="G49" s="68">
        <f t="shared" si="5"/>
        <v>64000</v>
      </c>
      <c r="H49" s="68">
        <f t="shared" si="6"/>
        <v>66000</v>
      </c>
      <c r="I49" s="68">
        <f t="shared" si="7"/>
        <v>69100</v>
      </c>
      <c r="J49" s="68">
        <f t="shared" si="8"/>
        <v>81100</v>
      </c>
      <c r="K49" s="68">
        <f t="shared" si="9"/>
        <v>88600</v>
      </c>
      <c r="L49" s="68">
        <f t="shared" si="10"/>
        <v>103600</v>
      </c>
      <c r="M49" s="68">
        <f t="shared" si="11"/>
        <v>116200</v>
      </c>
      <c r="N49" s="68">
        <f t="shared" si="12"/>
        <v>136000</v>
      </c>
      <c r="O49" s="68">
        <f t="shared" si="13"/>
        <v>162900</v>
      </c>
      <c r="P49" s="68">
        <f t="shared" si="14"/>
        <v>172300</v>
      </c>
      <c r="Q49" s="68">
        <f t="shared" si="15"/>
        <v>186400</v>
      </c>
      <c r="R49" s="68"/>
      <c r="S49" s="68"/>
      <c r="T49" s="68"/>
      <c r="U49" s="68"/>
      <c r="V49" s="68"/>
      <c r="W49" s="68"/>
      <c r="X49" s="68"/>
      <c r="Y49" s="68"/>
      <c r="Z49" s="68"/>
      <c r="AA49" s="224"/>
    </row>
    <row r="50" spans="1:27" s="18" customFormat="1" ht="15.75">
      <c r="A50" s="224"/>
      <c r="B50" s="63">
        <v>40</v>
      </c>
      <c r="C50" s="68">
        <f t="shared" si="1"/>
        <v>56200</v>
      </c>
      <c r="D50" s="68">
        <f t="shared" si="2"/>
        <v>56800</v>
      </c>
      <c r="E50" s="68">
        <f t="shared" si="3"/>
        <v>57900</v>
      </c>
      <c r="F50" s="68">
        <f t="shared" si="4"/>
        <v>60800</v>
      </c>
      <c r="G50" s="68">
        <f t="shared" si="5"/>
        <v>65900</v>
      </c>
      <c r="H50" s="68">
        <f t="shared" si="6"/>
        <v>68000</v>
      </c>
      <c r="I50" s="68">
        <f t="shared" si="7"/>
        <v>71200</v>
      </c>
      <c r="J50" s="68">
        <f t="shared" si="8"/>
        <v>83500</v>
      </c>
      <c r="K50" s="68">
        <f t="shared" si="9"/>
        <v>91300</v>
      </c>
      <c r="L50" s="68">
        <f t="shared" si="10"/>
        <v>106700</v>
      </c>
      <c r="M50" s="68">
        <f t="shared" si="11"/>
        <v>119700</v>
      </c>
      <c r="N50" s="68">
        <f t="shared" si="12"/>
        <v>140100</v>
      </c>
      <c r="O50" s="68">
        <f t="shared" si="13"/>
        <v>167800</v>
      </c>
      <c r="P50" s="68">
        <f t="shared" si="14"/>
        <v>177500</v>
      </c>
      <c r="Q50" s="68">
        <f t="shared" si="15"/>
        <v>192000</v>
      </c>
      <c r="R50" s="69"/>
      <c r="S50" s="69"/>
      <c r="T50" s="69"/>
      <c r="U50" s="69"/>
      <c r="V50" s="69"/>
      <c r="W50" s="69"/>
      <c r="X50" s="69"/>
      <c r="Y50" s="69"/>
      <c r="Z50" s="69"/>
      <c r="AA50" s="224"/>
    </row>
    <row r="51" spans="1:27">
      <c r="A51" s="43"/>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43"/>
    </row>
    <row r="52" spans="1:27"/>
    <row r="53" spans="1:27" hidden="1"/>
    <row r="54" spans="1:27" hidden="1"/>
    <row r="55" spans="1:27" hidden="1"/>
    <row r="56" spans="1:27" hidden="1"/>
    <row r="57" spans="1:27" hidden="1"/>
    <row r="58" spans="1:27" hidden="1">
      <c r="I58" s="5" t="e">
        <f>INDEX($C$10:$Z$50,MATCH('Master Sheet'!$K$31,'Pay Chart'!$L$11:$L$50,0),MATCH('Master Sheet'!$I$31,'Pay Chart'!$C$10:$Z$10,0))</f>
        <v>#N/A</v>
      </c>
      <c r="K58" s="5" t="e">
        <f>MATCH('Master Sheet'!$K$31,'Pay Chart'!$L$11:$L$50,0)</f>
        <v>#N/A</v>
      </c>
    </row>
    <row r="59" spans="1:27" hidden="1">
      <c r="I59" s="5">
        <f>INDEX($C$10:$Z$50,10,MATCH('Master Sheet'!$I$31,'Pay Chart'!$C$10:$Z$10,0))</f>
        <v>47900</v>
      </c>
      <c r="K59" s="5">
        <f>MATCH('Master Sheet'!$I$31,'Pay Chart'!$C$10:$Z$10,0)</f>
        <v>11</v>
      </c>
    </row>
    <row r="60" spans="1:27" hidden="1"/>
    <row r="61" spans="1:27" hidden="1"/>
    <row r="62" spans="1:27" hidden="1">
      <c r="I62" s="5" t="e">
        <f ca="1">OFFSET(B10,MATCH('DATA ENTRY'!C16,'Pay Chart'!$N$11:$N$50,0),MATCH('DATA ENTRY'!H16,'Pay Chart'!$C$10:$Z$10,0))</f>
        <v>#N/A</v>
      </c>
    </row>
    <row r="63" spans="1:27" hidden="1"/>
    <row r="64" spans="1:27" hidden="1">
      <c r="C64" s="70" t="str">
        <f>IFERROR(INDEX($C$10:$Z$50,MATCH('DATA ENTRY'!$C$14,'Pay Chart'!$C$11:$C$50,0)+1,MATCH('DATA ENTRY'!$H$14,'Pay Chart'!$C$10:$Z$10,0)),"")</f>
        <v/>
      </c>
      <c r="D64" s="70" t="str">
        <f>IFERROR(INDEX($C$10:$Z$50,MATCH('DATA ENTRY'!$C$14,'Pay Chart'!$D$11:$D$50,0)+1,MATCH('DATA ENTRY'!$H$14,'Pay Chart'!$C$10:$Z$10,0)),"")</f>
        <v/>
      </c>
      <c r="E64" s="70" t="str">
        <f>IFERROR(INDEX($C$10:$Z$50,MATCH('DATA ENTRY'!$C$14,'Pay Chart'!$E$11:$E$50,0)+1,MATCH('DATA ENTRY'!$H$14,'Pay Chart'!$C$10:$Z$10,0)),"")</f>
        <v/>
      </c>
      <c r="F64" s="70" t="str">
        <f>IFERROR(INDEX($C$10:$Z$50,MATCH('DATA ENTRY'!$C$14,'Pay Chart'!$F$11:$F$50,0)+1,MATCH('DATA ENTRY'!$H$14,'Pay Chart'!$C$10:$Z$10,0)),"")</f>
        <v/>
      </c>
      <c r="G64" s="70" t="str">
        <f>IFERROR(INDEX($C$10:$Z$50,MATCH('DATA ENTRY'!$C$14,'Pay Chart'!$G$11:$G$50,0)+1,MATCH('DATA ENTRY'!$H$14,'Pay Chart'!$C$10:$Z$10,0)),"")</f>
        <v/>
      </c>
      <c r="H64" s="70" t="str">
        <f>IFERROR(INDEX($C$10:$Z$50,MATCH('DATA ENTRY'!$C$14,'Pay Chart'!$H$11:$H$50,0)+1,MATCH('DATA ENTRY'!$H$14,'Pay Chart'!$C$10:$Z$10,0)),"")</f>
        <v/>
      </c>
      <c r="I64" s="70" t="str">
        <f>IFERROR(INDEX($C$10:$Z$50,MATCH('DATA ENTRY'!$C$14,'Pay Chart'!$I$11:$I$50,0)+1,MATCH('DATA ENTRY'!$H$14,'Pay Chart'!$C$10:$Z$10,0)),"")</f>
        <v/>
      </c>
      <c r="J64" s="70" t="str">
        <f>IFERROR(INDEX($C$10:$Z$50,MATCH('DATA ENTRY'!$C$14,'Pay Chart'!$J$11:$J$50,0)+1,MATCH('DATA ENTRY'!$H$14,'Pay Chart'!$C$10:$Z$10,0)),"")</f>
        <v/>
      </c>
      <c r="K64" s="70" t="str">
        <f>IFERROR(INDEX($C$10:$Z$50,MATCH('DATA ENTRY'!$C$14,'Pay Chart'!$K$11:$K$50,0)+1,MATCH('DATA ENTRY'!$H$14,'Pay Chart'!$C$10:$Z$10,0)),"")</f>
        <v/>
      </c>
      <c r="L64" s="70" t="str">
        <f>IFERROR(INDEX($C$10:$Z$50,MATCH('DATA ENTRY'!$C$14,'Pay Chart'!$L$11:$L$50,0)+1,MATCH('DATA ENTRY'!$H$14,'Pay Chart'!$C$10:$Z$10,0)),"")</f>
        <v/>
      </c>
      <c r="M64" s="70" t="str">
        <f>IFERROR(INDEX($C$10:$Z$50,MATCH('DATA ENTRY'!$C$14,'Pay Chart'!$M$11:$M$50,0)+1,MATCH('DATA ENTRY'!$H$14,'Pay Chart'!$C$10:$Z$10,0)),"")</f>
        <v/>
      </c>
      <c r="N64" s="70">
        <f>IFERROR(INDEX($C$10:$Z$50,MATCH('DATA ENTRY'!$C$14,'Pay Chart'!$N$11:$N$50,0)+1,MATCH('DATA ENTRY'!$H$14,'Pay Chart'!$C$10:$Z$10,0)),"")</f>
        <v>57800</v>
      </c>
      <c r="O64" s="70" t="str">
        <f>IFERROR(INDEX($C$10:$Z$50,MATCH('DATA ENTRY'!$C$14,'Pay Chart'!$O$11:$O$50,0)+1,MATCH('DATA ENTRY'!$H$14,'Pay Chart'!$C$10:$Z$10,0)),"")</f>
        <v/>
      </c>
      <c r="P64" s="70">
        <f>IFERROR(INDEX($C$10:$Z$50,MATCH('DATA ENTRY'!$C$14,'Pay Chart'!$P$11:$P$50,0)+1,MATCH('DATA ENTRY'!$H$14,'Pay Chart'!$C$10:$Z$10,0)),"")</f>
        <v>45600</v>
      </c>
      <c r="Q64" s="70" t="str">
        <f>IFERROR(INDEX($C$10:$Z$50,MATCH('DATA ENTRY'!$C$14,'Pay Chart'!$Q$11:$Q$50,0)+1,MATCH('DATA ENTRY'!$H$14,'Pay Chart'!$C$10:$Z$10,0)),"")</f>
        <v/>
      </c>
      <c r="R64" s="70" t="str">
        <f>IFERROR(INDEX($C$10:$Z$50,MATCH('DATA ENTRY'!$C$14,'Pay Chart'!$R$11:$R$50,0)+1,MATCH('DATA ENTRY'!$H$14,'Pay Chart'!$C$10:$Z$10,0)),"")</f>
        <v/>
      </c>
      <c r="S64" s="70" t="str">
        <f>IFERROR(INDEX($C$10:$Z$50,MATCH('DATA ENTRY'!$C$14,'Pay Chart'!$S$11:$S$50,0)+1,MATCH('DATA ENTRY'!$H$14,'Pay Chart'!$C$10:$Z$10,0)),"")</f>
        <v/>
      </c>
      <c r="T64" s="70" t="str">
        <f>IFERROR(INDEX($C$10:$Z$50,MATCH('DATA ENTRY'!$C$14,'Pay Chart'!$T$11:$T$50,0)+1,MATCH('DATA ENTRY'!$H$14,'Pay Chart'!$C$10:$Z$10,0)),"")</f>
        <v/>
      </c>
      <c r="U64" s="70" t="str">
        <f>IFERROR(INDEX($C$10:$Z$50,MATCH('DATA ENTRY'!$C$14,'Pay Chart'!$U$11:$U$50,0)+1,MATCH('DATA ENTRY'!$H$14,'Pay Chart'!$C$10:$Z$10,0)),"")</f>
        <v/>
      </c>
      <c r="V64" s="70" t="str">
        <f>IFERROR(INDEX($C$10:$Z$50,MATCH('DATA ENTRY'!$C$14,'Pay Chart'!$V$11:$V$50,0)+1,MATCH('DATA ENTRY'!$H$14,'Pay Chart'!$C$10:$Z$10,0)),"")</f>
        <v/>
      </c>
      <c r="W64" s="70" t="str">
        <f>IFERROR(INDEX($C$10:$Z$50,MATCH('DATA ENTRY'!$C$14,'Pay Chart'!$W$11:$W$50,0)+1,MATCH('DATA ENTRY'!$H$14,'Pay Chart'!$C$10:$Z$10,0)),"")</f>
        <v/>
      </c>
      <c r="X64" s="70" t="str">
        <f>IFERROR(INDEX($C$10:$Z$50,MATCH('DATA ENTRY'!$C$14,'Pay Chart'!$X$11:$X$50,0)+1,MATCH('DATA ENTRY'!$H$14,'Pay Chart'!$C$10:$Z$10,0)),"")</f>
        <v/>
      </c>
      <c r="Y64" s="70" t="str">
        <f>IFERROR(INDEX($C$10:$Z$50,MATCH('DATA ENTRY'!$C$14,'Pay Chart'!$Y$11:$Y$50,0)+1,MATCH('DATA ENTRY'!$H$14,'Pay Chart'!$C$10:$Z$10,0)),"")</f>
        <v/>
      </c>
      <c r="Z64" s="70" t="str">
        <f>IFERROR(INDEX($C$10:$Z$50,MATCH('DATA ENTRY'!$C$14,'Pay Chart'!$Z$11:$Z$50,0)+1,MATCH('DATA ENTRY'!$H$14,'Pay Chart'!$C$10:$Z$10,0)),"")</f>
        <v/>
      </c>
    </row>
    <row r="65" spans="3:26" hidden="1">
      <c r="C65" s="70" t="str">
        <f>IFERROR(INDEX($C$10:$Z$50,MATCH('DATA ENTRY'!$C$14,'Pay Chart'!$C$11:$C$50,0)+2,MATCH('DATA ENTRY'!$H$14,'Pay Chart'!$C$10:$Z$10,0)),"")</f>
        <v/>
      </c>
      <c r="D65" s="70" t="str">
        <f>IFERROR(INDEX($C$10:$Z$50,MATCH('DATA ENTRY'!$C$14,'Pay Chart'!$D$11:$D$50,0)+2,MATCH('DATA ENTRY'!$H$14,'Pay Chart'!$C$10:$Z$10,0)),"")</f>
        <v/>
      </c>
      <c r="E65" s="70" t="str">
        <f>IFERROR(INDEX($C$10:$Z$50,MATCH('DATA ENTRY'!$C$14,'Pay Chart'!$E$11:$E$50,0)+2,MATCH('DATA ENTRY'!$H$14,'Pay Chart'!$C$10:$Z$10,0)),"")</f>
        <v/>
      </c>
      <c r="F65" s="70" t="str">
        <f>IFERROR(INDEX($C$10:$Z$50,MATCH('DATA ENTRY'!$C$14,'Pay Chart'!$F$11:$F$50,0)+2,MATCH('DATA ENTRY'!$H$14,'Pay Chart'!$C$10:$Z$10,0)),"")</f>
        <v/>
      </c>
      <c r="G65" s="70" t="str">
        <f>IFERROR(INDEX($C$10:$Z$50,MATCH('DATA ENTRY'!$C$14,'Pay Chart'!$G$11:$G$50,0)+2,MATCH('DATA ENTRY'!$H$14,'Pay Chart'!$C$10:$Z$10,0)),"")</f>
        <v/>
      </c>
      <c r="H65" s="70" t="str">
        <f>IFERROR(INDEX($C$10:$Z$50,MATCH('DATA ENTRY'!$C$14,'Pay Chart'!$H$11:$H$50,0)+2,MATCH('DATA ENTRY'!$H$14,'Pay Chart'!$C$10:$Z$10,0)),"")</f>
        <v/>
      </c>
      <c r="I65" s="70" t="str">
        <f>IFERROR(INDEX($C$10:$Z$50,MATCH('DATA ENTRY'!$C$14,'Pay Chart'!$I$11:$I$50,0)+2,MATCH('DATA ENTRY'!$H$14,'Pay Chart'!$C$10:$Z$10,0)),"")</f>
        <v/>
      </c>
      <c r="J65" s="70" t="str">
        <f>IFERROR(INDEX($C$10:$Z$50,MATCH('DATA ENTRY'!$C$14,'Pay Chart'!$J$11:$J$50,0)+2,MATCH('DATA ENTRY'!$H$14,'Pay Chart'!$C$10:$Z$10,0)),"")</f>
        <v/>
      </c>
      <c r="K65" s="70" t="str">
        <f>IFERROR(INDEX($C$10:$Z$50,MATCH('DATA ENTRY'!$C$14,'Pay Chart'!$K$11:$K$50,0)+2,MATCH('DATA ENTRY'!$H$14,'Pay Chart'!$C$10:$Z$10,0)),"")</f>
        <v/>
      </c>
      <c r="L65" s="70" t="str">
        <f>IFERROR(INDEX($C$10:$Z$50,MATCH('DATA ENTRY'!$C$14,'Pay Chart'!$L$11:$L$50,0)+2,MATCH('DATA ENTRY'!$H$14,'Pay Chart'!$C$10:$Z$10,0)),"")</f>
        <v/>
      </c>
      <c r="M65" s="70" t="str">
        <f>IFERROR(INDEX($C$10:$Z$50,MATCH('DATA ENTRY'!$C$14,'Pay Chart'!$M$11:$M$50,0)+2,MATCH('DATA ENTRY'!$H$14,'Pay Chart'!$C$10:$Z$10,0)),"")</f>
        <v/>
      </c>
      <c r="N65" s="70">
        <f>IFERROR(INDEX($C$10:$Z$50,MATCH('DATA ENTRY'!$C$14,'Pay Chart'!$N$11:$N$50,0)+2,MATCH('DATA ENTRY'!$H$14,'Pay Chart'!$C$10:$Z$10,0)),"")</f>
        <v>59500</v>
      </c>
      <c r="O65" s="70" t="str">
        <f>IFERROR(INDEX($C$10:$Z$50,MATCH('DATA ENTRY'!$C$14,'Pay Chart'!$O$11:$O$50,0)+2,MATCH('DATA ENTRY'!$H$14,'Pay Chart'!$C$10:$Z$10,0)),"")</f>
        <v/>
      </c>
      <c r="P65" s="70">
        <f>IFERROR(INDEX($C$10:$Z$50,MATCH('DATA ENTRY'!$C$14,'Pay Chart'!$P$11:$P$50,0)+2,MATCH('DATA ENTRY'!$H$14,'Pay Chart'!$C$10:$Z$10,0)),"")</f>
        <v>47000</v>
      </c>
      <c r="Q65" s="70" t="str">
        <f>IFERROR(INDEX($C$10:$Z$50,MATCH('DATA ENTRY'!$C$14,'Pay Chart'!$Q$11:$Q$50,0)+2,MATCH('DATA ENTRY'!$H$14,'Pay Chart'!$C$10:$Z$10,0)),"")</f>
        <v/>
      </c>
      <c r="R65" s="70" t="str">
        <f>IFERROR(INDEX($C$10:$Z$50,MATCH('DATA ENTRY'!$C$14,'Pay Chart'!$R$11:$R$50,0)+2,MATCH('DATA ENTRY'!$H$14,'Pay Chart'!$C$10:$Z$10,0)),"")</f>
        <v/>
      </c>
      <c r="S65" s="70" t="str">
        <f>IFERROR(INDEX($C$10:$Z$50,MATCH('DATA ENTRY'!$C$14,'Pay Chart'!$S$11:$S$50,0)+2,MATCH('DATA ENTRY'!$H$14,'Pay Chart'!$C$10:$Z$10,0)),"")</f>
        <v/>
      </c>
      <c r="T65" s="70" t="str">
        <f>IFERROR(INDEX($C$10:$Z$50,MATCH('DATA ENTRY'!$C$14,'Pay Chart'!$T$11:$T$50,0)+2,MATCH('DATA ENTRY'!$H$14,'Pay Chart'!$C$10:$Z$10,0)),"")</f>
        <v/>
      </c>
      <c r="U65" s="70" t="str">
        <f>IFERROR(INDEX($C$10:$Z$50,MATCH('DATA ENTRY'!$C$14,'Pay Chart'!$U$11:$U$50,0)+2,MATCH('DATA ENTRY'!$H$14,'Pay Chart'!$C$10:$Z$10,0)),"")</f>
        <v/>
      </c>
      <c r="V65" s="70" t="str">
        <f>IFERROR(INDEX($C$10:$Z$50,MATCH('DATA ENTRY'!$C$14,'Pay Chart'!$V$11:$V$50,0)+2,MATCH('DATA ENTRY'!$H$14,'Pay Chart'!$C$10:$Z$10,0)),"")</f>
        <v/>
      </c>
      <c r="W65" s="70" t="str">
        <f>IFERROR(INDEX($C$10:$Z$50,MATCH('DATA ENTRY'!$C$14,'Pay Chart'!$W$11:$W$50,0)+2,MATCH('DATA ENTRY'!$H$14,'Pay Chart'!$C$10:$Z$10,0)),"")</f>
        <v/>
      </c>
      <c r="X65" s="70" t="str">
        <f>IFERROR(INDEX($C$10:$Z$50,MATCH('DATA ENTRY'!$C$14,'Pay Chart'!$X$11:$X$50,0)+2,MATCH('DATA ENTRY'!$H$14,'Pay Chart'!$C$10:$Z$10,0)),"")</f>
        <v/>
      </c>
      <c r="Y65" s="70" t="str">
        <f>IFERROR(INDEX($C$10:$Z$50,MATCH('DATA ENTRY'!$C$14,'Pay Chart'!$Y$11:$Y$50,0)+2,MATCH('DATA ENTRY'!$H$14,'Pay Chart'!$C$10:$Z$10,0)),"")</f>
        <v/>
      </c>
      <c r="Z65" s="70" t="str">
        <f>IFERROR(INDEX($C$10:$Z$50,MATCH('DATA ENTRY'!$C$14,'Pay Chart'!$Z$11:$Z$50,0)+2,MATCH('DATA ENTRY'!$H$14,'Pay Chart'!$C$10:$Z$10,0)),"")</f>
        <v/>
      </c>
    </row>
    <row r="66" spans="3:26" hidden="1"/>
    <row r="67" spans="3:26" hidden="1"/>
    <row r="68" spans="3:26" hidden="1">
      <c r="C68" s="70" t="str">
        <f>IFERROR(INDEX($C$10:$Z$50,MATCH(C65,'Pay Chart'!$D$11:$D$50,1)+2,MATCH('DATA ENTRY'!$H$16,'Pay Chart'!$C$10:$Z$10,0)),"")</f>
        <v/>
      </c>
      <c r="D68" s="70" t="str">
        <f>IFERROR(INDEX($C$10:$Z$50,MATCH(D65,'Pay Chart'!$E$11:$E$50,1)+2,MATCH('DATA ENTRY'!$H$16,'Pay Chart'!$C$10:$Z$10,0)),"")</f>
        <v/>
      </c>
      <c r="E68" s="70" t="str">
        <f>IFERROR(INDEX($C$10:$Z$50,MATCH(E65,'Pay Chart'!$F$11:$F$50,1)+2,MATCH('DATA ENTRY'!$H$16,'Pay Chart'!$C$10:$Z$10,0)),"")</f>
        <v/>
      </c>
      <c r="F68" s="70" t="str">
        <f>IFERROR(INDEX($C$10:$Z$50,MATCH(F65,'Pay Chart'!$G$11:$G$50,1)+2,MATCH('DATA ENTRY'!$H$16,'Pay Chart'!$C$10:$Z$10,0)),"")</f>
        <v/>
      </c>
      <c r="G68" s="70" t="str">
        <f>IFERROR(INDEX($C$10:$Z$50,MATCH(G65,'Pay Chart'!$H$11:$H$50,1)+2,MATCH('DATA ENTRY'!$H$16,'Pay Chart'!$C$10:$Z$10,0)),"")</f>
        <v/>
      </c>
      <c r="H68" s="70" t="str">
        <f>IFERROR(INDEX($C$10:$Z$50,MATCH(H65,'Pay Chart'!$I$11:$I$50,1)+2,MATCH('DATA ENTRY'!$H$16,'Pay Chart'!$C$10:$Z$10,0)),"")</f>
        <v/>
      </c>
      <c r="I68" s="70" t="str">
        <f>IFERROR(INDEX($C$10:$Z$50,MATCH(I65,'Pay Chart'!$J$11:$J$50,1)+2,MATCH('DATA ENTRY'!$H$16,'Pay Chart'!$C$10:$Z$10,0)),"")</f>
        <v/>
      </c>
      <c r="J68" s="70" t="str">
        <f>IFERROR(INDEX($C$10:$Z$50,MATCH(J65,'Pay Chart'!$K$11:$K$50,1)+2,MATCH('DATA ENTRY'!$H$16,'Pay Chart'!$C$10:$Z$10,0)),"")</f>
        <v/>
      </c>
      <c r="K68" s="70" t="str">
        <f>IFERROR(INDEX($C$10:$Z$50,MATCH(K65,'Pay Chart'!$L$11:$L$50,1)+2,MATCH('DATA ENTRY'!$H$16,'Pay Chart'!$C$10:$Z$10,0)),"")</f>
        <v/>
      </c>
      <c r="L68" s="70" t="str">
        <f>IFERROR(INDEX($C$10:$Z$50,MATCH(L65,'Pay Chart'!$M$11:$M$50,1)+2,MATCH('DATA ENTRY'!$H$16,'Pay Chart'!$C$10:$Z$10,0)),"")</f>
        <v/>
      </c>
      <c r="M68" s="70" t="str">
        <f>IFERROR(INDEX($C$10:$Z$50,MATCH(M65,'Pay Chart'!$N$11:$N$50,1)+2,MATCH('DATA ENTRY'!$H$16,'Pay Chart'!$C$10:$Z$10,0)),"")</f>
        <v/>
      </c>
      <c r="N68" s="70">
        <f>IFERROR(INDEX($C$10:$Z$50,MATCH(N65,'Pay Chart'!$O$11:$O$50,1)+2,MATCH('DATA ENTRY'!$H$16,'Pay Chart'!$C$10:$Z$10,0)),"")</f>
        <v>59700</v>
      </c>
      <c r="O68" s="70" t="str">
        <f>IFERROR(INDEX($C$10:$Z$50,MATCH(O65,'Pay Chart'!$P$11:$P$50,1)+2,MATCH('DATA ENTRY'!$H$16,'Pay Chart'!$C$10:$Z$10,0)),"")</f>
        <v/>
      </c>
      <c r="P68" s="70" t="str">
        <f>IFERROR(INDEX($C$10:$Z$50,MATCH(P65,'Pay Chart'!$Q$11:$Q$50,1)+2,MATCH('DATA ENTRY'!$H$16,'Pay Chart'!$C$10:$Z$10,0)),"")</f>
        <v/>
      </c>
      <c r="Q68" s="70" t="str">
        <f>IFERROR(INDEX($C$10:$Z$50,MATCH(Q65,'Pay Chart'!$R$11:$R$50,1)+2,MATCH('DATA ENTRY'!$H$16,'Pay Chart'!$C$10:$Z$10,0)),"")</f>
        <v/>
      </c>
      <c r="R68" s="70" t="str">
        <f>IFERROR(INDEX($C$10:$Z$50,MATCH(R65,'Pay Chart'!$S$11:$S$50,1)+2,MATCH('DATA ENTRY'!$H$16,'Pay Chart'!$C$10:$Z$10,0)),"")</f>
        <v/>
      </c>
      <c r="S68" s="70" t="str">
        <f>IFERROR(INDEX($C$10:$Z$50,MATCH(S65,'Pay Chart'!$T$11:$T$50,1)+2,MATCH('DATA ENTRY'!$H$16,'Pay Chart'!$C$10:$Z$10,0)),"")</f>
        <v/>
      </c>
      <c r="T68" s="70" t="str">
        <f>IFERROR(INDEX($C$10:$Z$50,MATCH(T65,'Pay Chart'!$U$11:$U$50,1)+2,MATCH('DATA ENTRY'!$H$16,'Pay Chart'!$C$10:$Z$10,0)),"")</f>
        <v/>
      </c>
      <c r="U68" s="70" t="str">
        <f>IFERROR(INDEX($C$10:$Z$50,MATCH(U65,'Pay Chart'!$V$11:$V$50,1)+2,MATCH('DATA ENTRY'!$H$16,'Pay Chart'!$C$10:$Z$10,0)),"")</f>
        <v/>
      </c>
      <c r="V68" s="70" t="str">
        <f>IFERROR(INDEX($C$10:$Z$50,MATCH(V65,'Pay Chart'!$W$11:$W$50,1)+2,MATCH('DATA ENTRY'!$H$16,'Pay Chart'!$C$10:$Z$10,0)),"")</f>
        <v/>
      </c>
      <c r="W68" s="70" t="str">
        <f>IFERROR(INDEX($C$10:$Z$50,MATCH(W65,'Pay Chart'!$X$11:$X$50,1)+2,MATCH('DATA ENTRY'!$H$16,'Pay Chart'!$C$10:$Z$10,0)),"")</f>
        <v/>
      </c>
      <c r="X68" s="70" t="str">
        <f>IFERROR(INDEX($C$10:$Z$50,MATCH(X65,'Pay Chart'!$Y$11:$Y$50,1)+2,MATCH('DATA ENTRY'!$H$16,'Pay Chart'!$C$10:$Z$10,0)),"")</f>
        <v/>
      </c>
      <c r="Y68" s="70" t="str">
        <f>IFERROR(INDEX($C$10:$Z$50,MATCH(Y65,'Pay Chart'!$Z$11:$Z$50,1)+2,MATCH('DATA ENTRY'!$H$16,'Pay Chart'!$C$10:$Z$10,0)),"")</f>
        <v/>
      </c>
      <c r="Z68" s="70" t="str">
        <f>IFERROR(INDEX($C$10:$Z$50,MATCH(Z65,'Pay Chart'!$AA$11:$AA$50,1)+2,MATCH('DATA ENTRY'!$H$16,'Pay Chart'!$C$10:$Z$10,0)),"")</f>
        <v/>
      </c>
    </row>
    <row r="69" spans="3:26" hidden="1">
      <c r="C69" s="70"/>
      <c r="D69" s="70"/>
      <c r="E69" s="70"/>
      <c r="F69" s="70"/>
      <c r="G69" s="70"/>
      <c r="H69" s="70"/>
      <c r="I69" s="70"/>
      <c r="J69" s="70" t="str">
        <f>IFERROR(INDEX($C$10:$Z$50,MATCH(J65,'Pay Chart'!$L$11:$L$50,1)+2,MATCH('DATA ENTRY'!$H$16,'Pay Chart'!$C$10:$Z$10,0)),"")</f>
        <v/>
      </c>
      <c r="K69" s="70"/>
      <c r="L69" s="70"/>
      <c r="M69" s="70"/>
      <c r="N69" s="70">
        <f>IFERROR(INDEX($C$10:$Z$50,MATCH(N65,'Pay Chart'!$P$11:$P$50,1)+2,MATCH('DATA ENTRY'!$H$16,'Pay Chart'!$C$10:$Z$10,0)),"")</f>
        <v>58000</v>
      </c>
      <c r="O69" s="70"/>
      <c r="P69" s="70" t="str">
        <f>IFERROR(INDEX($C$10:$Z$50,MATCH(P65,'Pay Chart'!$R$11:$R$50,1)+2,MATCH('DATA ENTRY'!$H$16,'Pay Chart'!$C$10:$Z$10,0)),"")</f>
        <v/>
      </c>
      <c r="Q69" s="70" t="str">
        <f>IFERROR(INDEX($C$10:$Z$50,MATCH('DATA ENTRY'!$C$14,'Pay Chart'!$R$11:$R$50,0)+2,MATCH('DATA ENTRY'!$H$14,'Pay Chart'!$C$10:$Z$10,0)),"")</f>
        <v/>
      </c>
      <c r="R69" s="70" t="str">
        <f>IFERROR(INDEX($C$10:$Z$50,MATCH(R65,'Pay Chart'!$T$11:$T$50,1)+2,MATCH('DATA ENTRY'!$H$16,'Pay Chart'!$C$10:$Z$10,0)),"")</f>
        <v/>
      </c>
      <c r="S69" s="70"/>
      <c r="T69" s="70"/>
      <c r="U69" s="70"/>
      <c r="V69" s="70"/>
      <c r="W69" s="70"/>
      <c r="X69" s="70"/>
      <c r="Y69" s="70"/>
      <c r="Z69" s="70"/>
    </row>
    <row r="70" spans="3:26" hidden="1">
      <c r="M70" s="5" t="e">
        <f>LOOKUP(M65,N8:N22)</f>
        <v>#N/A</v>
      </c>
    </row>
    <row r="71" spans="3:26" hidden="1">
      <c r="M71" s="5" t="e">
        <f ca="1">OFFSET(B10:Z50,MATCH(M65,C11:Z50,1),MATCH('DATA ENTRY'!H16,'Pay Chart'!C10:Z10,0))</f>
        <v>#N/A</v>
      </c>
      <c r="N71" s="5" t="e">
        <f>MATCH(M65,N11:N50,1)</f>
        <v>#N/A</v>
      </c>
    </row>
    <row r="72" spans="3:26" hidden="1">
      <c r="N72" s="5" t="e">
        <f>MATCH(M65,'Pay Chart'!$N$11:$N$50,1)+1</f>
        <v>#N/A</v>
      </c>
    </row>
    <row r="73" spans="3:26" hidden="1">
      <c r="N73" s="5" t="e">
        <f>INDEX($C$10:$Z$50,MATCH(M65,'Pay Chart'!$N$11:$N$50,1)+2,MATCH('DATA ENTRY'!$H$16,'Pay Chart'!$C$10:$Z$10,0))</f>
        <v>#N/A</v>
      </c>
    </row>
    <row r="74" spans="3:26" hidden="1"/>
  </sheetData>
  <sheetProtection password="C1FB" sheet="1" objects="1" scenarios="1" formatColumns="0" formatRows="0"/>
  <mergeCells count="11">
    <mergeCell ref="AA2:AA50"/>
    <mergeCell ref="B1:Z1"/>
    <mergeCell ref="A2:A50"/>
    <mergeCell ref="B51:Z51"/>
    <mergeCell ref="M3:P3"/>
    <mergeCell ref="B5:Z5"/>
    <mergeCell ref="C6:K6"/>
    <mergeCell ref="L6:O6"/>
    <mergeCell ref="P6:V6"/>
    <mergeCell ref="W6:Z6"/>
    <mergeCell ref="C2:U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rgb="FF002060"/>
    <pageSetUpPr fitToPage="1"/>
  </sheetPr>
  <dimension ref="B1:N36"/>
  <sheetViews>
    <sheetView showGridLines="0" showRowColHeaders="0" view="pageBreakPreview" zoomScaleSheetLayoutView="100" workbookViewId="0">
      <selection activeCell="I12" sqref="I12:K12"/>
    </sheetView>
  </sheetViews>
  <sheetFormatPr defaultRowHeight="15"/>
  <cols>
    <col min="1" max="1" width="5.5" style="5" customWidth="1"/>
    <col min="2" max="2" width="3.625" style="5" customWidth="1"/>
    <col min="3" max="3" width="4.625" style="5" customWidth="1"/>
    <col min="4" max="4" width="9.875" style="5" customWidth="1"/>
    <col min="5" max="5" width="9" style="5"/>
    <col min="6" max="6" width="9.875" style="5" customWidth="1"/>
    <col min="7" max="7" width="8.625" style="5" customWidth="1"/>
    <col min="8" max="8" width="10.875" style="5" customWidth="1"/>
    <col min="9" max="9" width="11.625" style="5" customWidth="1"/>
    <col min="10" max="10" width="12" style="5" customWidth="1"/>
    <col min="11" max="11" width="11.125" style="5" customWidth="1"/>
    <col min="12" max="13" width="9" style="5"/>
    <col min="14" max="14" width="19" style="5" customWidth="1"/>
    <col min="15" max="16384" width="9" style="5"/>
  </cols>
  <sheetData>
    <row r="1" spans="2:14" ht="11.25" customHeight="1">
      <c r="B1" s="46"/>
      <c r="C1" s="47"/>
      <c r="D1" s="47"/>
      <c r="E1" s="47"/>
      <c r="F1" s="47"/>
      <c r="G1" s="47"/>
      <c r="H1" s="47"/>
      <c r="I1" s="47"/>
      <c r="J1" s="47"/>
      <c r="K1" s="48"/>
    </row>
    <row r="2" spans="2:14" ht="18.75" customHeight="1">
      <c r="B2" s="49"/>
      <c r="C2" s="50"/>
      <c r="D2" s="251" t="s">
        <v>102</v>
      </c>
      <c r="E2" s="251"/>
      <c r="F2" s="251"/>
      <c r="G2" s="251"/>
      <c r="H2" s="251"/>
      <c r="I2" s="251"/>
      <c r="J2" s="251"/>
      <c r="K2" s="51"/>
    </row>
    <row r="3" spans="2:14">
      <c r="B3" s="49"/>
      <c r="C3" s="50"/>
      <c r="D3" s="50"/>
      <c r="E3" s="50"/>
      <c r="F3" s="50"/>
      <c r="G3" s="50"/>
      <c r="H3" s="50"/>
      <c r="I3" s="50"/>
      <c r="J3" s="50"/>
      <c r="K3" s="51"/>
    </row>
    <row r="4" spans="2:14" ht="21.95" customHeight="1">
      <c r="B4" s="49">
        <v>1</v>
      </c>
      <c r="C4" s="52" t="s">
        <v>110</v>
      </c>
      <c r="D4" s="256" t="str">
        <f>IF('DATA ENTRY'!H18='DATA ENTRY'!Z2,CONCATENATE(IF('Master Sheet'!D11="","",'Master Sheet'!D11),",  ",IF('Master Sheet'!N11="","",'Master Sheet'!N11)),"----------------------------")</f>
        <v>HEERALAL JAT,  Sr. Teacher</v>
      </c>
      <c r="E4" s="256"/>
      <c r="F4" s="256"/>
      <c r="G4" s="256"/>
      <c r="H4" s="231" t="s">
        <v>111</v>
      </c>
      <c r="I4" s="231"/>
      <c r="J4" s="231"/>
      <c r="K4" s="241"/>
    </row>
    <row r="5" spans="2:14" ht="21.95" customHeight="1">
      <c r="B5" s="49"/>
      <c r="C5" s="231" t="s">
        <v>112</v>
      </c>
      <c r="D5" s="231"/>
      <c r="E5" s="231"/>
      <c r="F5" s="231"/>
      <c r="G5" s="231"/>
      <c r="H5" s="231"/>
      <c r="I5" s="231"/>
      <c r="J5" s="231"/>
      <c r="K5" s="241"/>
      <c r="N5" s="171" t="s">
        <v>202</v>
      </c>
    </row>
    <row r="6" spans="2:14" ht="21.95" customHeight="1">
      <c r="B6" s="49"/>
      <c r="C6" s="231" t="s">
        <v>103</v>
      </c>
      <c r="D6" s="231"/>
      <c r="E6" s="231"/>
      <c r="F6" s="50"/>
      <c r="G6" s="50"/>
      <c r="H6" s="50"/>
      <c r="I6" s="50"/>
      <c r="J6" s="50"/>
      <c r="K6" s="51"/>
      <c r="N6" s="170" t="s">
        <v>203</v>
      </c>
    </row>
    <row r="7" spans="2:14" ht="9.75" customHeight="1">
      <c r="B7" s="49"/>
      <c r="C7" s="50"/>
      <c r="D7" s="50"/>
      <c r="E7" s="50"/>
      <c r="F7" s="50"/>
      <c r="G7" s="50"/>
      <c r="H7" s="50"/>
      <c r="I7" s="50"/>
      <c r="J7" s="50"/>
      <c r="K7" s="51"/>
    </row>
    <row r="8" spans="2:14" ht="21.95" customHeight="1">
      <c r="B8" s="49">
        <v>2</v>
      </c>
      <c r="C8" s="52" t="s">
        <v>110</v>
      </c>
      <c r="D8" s="256" t="str">
        <f>IF('DATA ENTRY'!H18='DATA ENTRY'!Z2,CONCATENATE(IF('Master Sheet'!D11="","",'Master Sheet'!D11),",  ",IF('Master Sheet'!N11="","",'Master Sheet'!N11)),"----------------------------")</f>
        <v>HEERALAL JAT,  Sr. Teacher</v>
      </c>
      <c r="E8" s="256"/>
      <c r="F8" s="256"/>
      <c r="G8" s="256"/>
      <c r="H8" s="237" t="s">
        <v>113</v>
      </c>
      <c r="I8" s="237"/>
      <c r="J8" s="237"/>
      <c r="K8" s="238"/>
    </row>
    <row r="9" spans="2:14" ht="21.95" customHeight="1">
      <c r="B9" s="49"/>
      <c r="C9" s="231" t="s">
        <v>114</v>
      </c>
      <c r="D9" s="231"/>
      <c r="E9" s="231"/>
      <c r="F9" s="231"/>
      <c r="G9" s="231"/>
      <c r="H9" s="231"/>
      <c r="I9" s="231"/>
      <c r="J9" s="231"/>
      <c r="K9" s="241"/>
    </row>
    <row r="10" spans="2:14" ht="21.95" customHeight="1">
      <c r="B10" s="49"/>
      <c r="C10" s="231" t="s">
        <v>115</v>
      </c>
      <c r="D10" s="231"/>
      <c r="E10" s="231"/>
      <c r="F10" s="231"/>
      <c r="G10" s="50"/>
      <c r="H10" s="50"/>
      <c r="I10" s="50"/>
      <c r="J10" s="50"/>
      <c r="K10" s="51"/>
    </row>
    <row r="11" spans="2:14" ht="11.25" customHeight="1">
      <c r="B11" s="49"/>
      <c r="C11" s="50"/>
      <c r="D11" s="50"/>
      <c r="E11" s="50"/>
      <c r="F11" s="50"/>
      <c r="G11" s="50"/>
      <c r="H11" s="50"/>
      <c r="I11" s="50"/>
      <c r="J11" s="50"/>
      <c r="K11" s="51"/>
    </row>
    <row r="12" spans="2:14" ht="21.95" customHeight="1">
      <c r="B12" s="49"/>
      <c r="C12" s="50"/>
      <c r="D12" s="50"/>
      <c r="E12" s="50"/>
      <c r="F12" s="50"/>
      <c r="G12" s="245" t="s">
        <v>116</v>
      </c>
      <c r="H12" s="245"/>
      <c r="I12" s="249"/>
      <c r="J12" s="249"/>
      <c r="K12" s="250"/>
    </row>
    <row r="13" spans="2:14" ht="21.95" customHeight="1">
      <c r="B13" s="49"/>
      <c r="C13" s="50"/>
      <c r="D13" s="50"/>
      <c r="E13" s="50"/>
      <c r="F13" s="50"/>
      <c r="G13" s="245" t="s">
        <v>104</v>
      </c>
      <c r="H13" s="245"/>
      <c r="I13" s="254" t="str">
        <f>IF('DATA ENTRY'!H18='DATA ENTRY'!Z2,IF('Master Sheet'!D11="","",'Master Sheet'!D11),"----------------------------")</f>
        <v>HEERALAL JAT</v>
      </c>
      <c r="J13" s="254"/>
      <c r="K13" s="255"/>
    </row>
    <row r="14" spans="2:14" ht="21.95" customHeight="1">
      <c r="B14" s="49"/>
      <c r="C14" s="50"/>
      <c r="D14" s="50"/>
      <c r="E14" s="50"/>
      <c r="F14" s="50"/>
      <c r="G14" s="245" t="s">
        <v>105</v>
      </c>
      <c r="H14" s="245"/>
      <c r="I14" s="254" t="str">
        <f>IF('DATA ENTRY'!H18='DATA ENTRY'!Z2,IF('Master Sheet'!N11="","",'Master Sheet'!N11),"----------------------------")</f>
        <v>Sr. Teacher</v>
      </c>
      <c r="J14" s="254"/>
      <c r="K14" s="255"/>
    </row>
    <row r="15" spans="2:14" ht="21.95" customHeight="1">
      <c r="B15" s="49"/>
      <c r="C15" s="50"/>
      <c r="D15" s="50"/>
      <c r="E15" s="50"/>
      <c r="F15" s="246" t="s">
        <v>117</v>
      </c>
      <c r="G15" s="246"/>
      <c r="H15" s="246"/>
      <c r="I15" s="247" t="str">
        <f>IF('DATA ENTRY'!H18='DATA ENTRY'!Z2,IF('Master Sheet'!D7="","",'Master Sheet'!D7),"-------------------------------------------------------------------------------------------------------------------")</f>
        <v>Mahatma Gandhi Government School (English Medium) Bar, (Beawar)</v>
      </c>
      <c r="J15" s="247"/>
      <c r="K15" s="248"/>
    </row>
    <row r="16" spans="2:14" ht="21.95" customHeight="1">
      <c r="B16" s="49"/>
      <c r="C16" s="50"/>
      <c r="D16" s="50"/>
      <c r="E16" s="50"/>
      <c r="F16" s="50"/>
      <c r="G16" s="50"/>
      <c r="H16" s="50"/>
      <c r="I16" s="247"/>
      <c r="J16" s="247"/>
      <c r="K16" s="248"/>
    </row>
    <row r="17" spans="2:11" ht="21.95" customHeight="1">
      <c r="B17" s="49"/>
      <c r="C17" s="50"/>
      <c r="D17" s="50"/>
      <c r="E17" s="252" t="s">
        <v>106</v>
      </c>
      <c r="F17" s="252"/>
      <c r="G17" s="252"/>
      <c r="H17" s="252"/>
      <c r="I17" s="252"/>
      <c r="J17" s="50"/>
      <c r="K17" s="51"/>
    </row>
    <row r="18" spans="2:11" ht="21.95" customHeight="1">
      <c r="B18" s="49"/>
      <c r="C18" s="246" t="s">
        <v>107</v>
      </c>
      <c r="D18" s="246"/>
      <c r="E18" s="246"/>
      <c r="F18" s="246"/>
      <c r="G18" s="246"/>
      <c r="H18" s="246"/>
      <c r="I18" s="246"/>
      <c r="J18" s="246"/>
      <c r="K18" s="253"/>
    </row>
    <row r="19" spans="2:11" ht="21.95" customHeight="1">
      <c r="B19" s="240" t="s">
        <v>119</v>
      </c>
      <c r="C19" s="231"/>
      <c r="D19" s="231"/>
      <c r="E19" s="231"/>
      <c r="F19" s="231"/>
      <c r="G19" s="231"/>
      <c r="H19" s="231"/>
      <c r="I19" s="231"/>
      <c r="J19" s="231"/>
      <c r="K19" s="241"/>
    </row>
    <row r="20" spans="2:11" ht="21.95" customHeight="1">
      <c r="B20" s="242" t="s">
        <v>118</v>
      </c>
      <c r="C20" s="243"/>
      <c r="D20" s="243"/>
      <c r="E20" s="243"/>
      <c r="F20" s="243"/>
      <c r="G20" s="243"/>
      <c r="H20" s="243"/>
      <c r="I20" s="243"/>
      <c r="J20" s="243"/>
      <c r="K20" s="244"/>
    </row>
    <row r="21" spans="2:11" ht="6.75" customHeight="1">
      <c r="B21" s="49"/>
      <c r="C21" s="50"/>
      <c r="D21" s="50"/>
      <c r="E21" s="50"/>
      <c r="F21" s="50"/>
      <c r="G21" s="50"/>
      <c r="H21" s="50"/>
      <c r="I21" s="50"/>
      <c r="J21" s="50"/>
      <c r="K21" s="51"/>
    </row>
    <row r="22" spans="2:11" ht="21.95" customHeight="1">
      <c r="B22" s="49"/>
      <c r="C22" s="50"/>
      <c r="D22" s="50"/>
      <c r="E22" s="50"/>
      <c r="F22" s="50"/>
      <c r="G22" s="245" t="s">
        <v>116</v>
      </c>
      <c r="H22" s="245"/>
      <c r="I22" s="249"/>
      <c r="J22" s="249"/>
      <c r="K22" s="250"/>
    </row>
    <row r="23" spans="2:11" ht="21.95" customHeight="1">
      <c r="B23" s="49"/>
      <c r="C23" s="50"/>
      <c r="D23" s="50"/>
      <c r="E23" s="50"/>
      <c r="F23" s="50"/>
      <c r="G23" s="245" t="s">
        <v>104</v>
      </c>
      <c r="H23" s="245"/>
      <c r="I23" s="254" t="str">
        <f>IF('DATA ENTRY'!H18='DATA ENTRY'!Z2,IF('Master Sheet'!D11="","",'Master Sheet'!D11),"----------------------------")</f>
        <v>HEERALAL JAT</v>
      </c>
      <c r="J23" s="254"/>
      <c r="K23" s="255"/>
    </row>
    <row r="24" spans="2:11" ht="21.95" customHeight="1">
      <c r="B24" s="49"/>
      <c r="C24" s="50"/>
      <c r="D24" s="50"/>
      <c r="E24" s="50"/>
      <c r="F24" s="50"/>
      <c r="G24" s="245" t="s">
        <v>105</v>
      </c>
      <c r="H24" s="245"/>
      <c r="I24" s="254" t="str">
        <f>IF('DATA ENTRY'!H18='DATA ENTRY'!Z2,IF('Master Sheet'!N11="","",'Master Sheet'!N11),"----------------------------")</f>
        <v>Sr. Teacher</v>
      </c>
      <c r="J24" s="254"/>
      <c r="K24" s="255"/>
    </row>
    <row r="25" spans="2:11" ht="21.95" customHeight="1">
      <c r="B25" s="49"/>
      <c r="C25" s="50"/>
      <c r="D25" s="50"/>
      <c r="E25" s="50"/>
      <c r="F25" s="246" t="s">
        <v>117</v>
      </c>
      <c r="G25" s="246"/>
      <c r="H25" s="246"/>
      <c r="I25" s="247" t="str">
        <f>IF('DATA ENTRY'!H18='DATA ENTRY'!Z2,IF('Master Sheet'!D7="","",'Master Sheet'!D7),"-------------------------------------------------------------------------------------------------------------------")</f>
        <v>Mahatma Gandhi Government School (English Medium) Bar, (Beawar)</v>
      </c>
      <c r="J25" s="247"/>
      <c r="K25" s="248"/>
    </row>
    <row r="26" spans="2:11" ht="21.95" customHeight="1">
      <c r="B26" s="49"/>
      <c r="C26" s="50"/>
      <c r="D26" s="50"/>
      <c r="E26" s="50"/>
      <c r="F26" s="50"/>
      <c r="G26" s="50"/>
      <c r="H26" s="50"/>
      <c r="I26" s="247"/>
      <c r="J26" s="247"/>
      <c r="K26" s="248"/>
    </row>
    <row r="27" spans="2:11" ht="21.95" customHeight="1">
      <c r="B27" s="49"/>
      <c r="C27" s="50"/>
      <c r="D27" s="50"/>
      <c r="E27" s="50"/>
      <c r="F27" s="50"/>
      <c r="G27" s="245" t="s">
        <v>120</v>
      </c>
      <c r="H27" s="245"/>
      <c r="I27" s="257">
        <f ca="1">IF('DATA ENTRY'!H18='DATA ENTRY'!Z2,TODAY(),"-------------------")</f>
        <v>45425</v>
      </c>
      <c r="J27" s="257"/>
      <c r="K27" s="53"/>
    </row>
    <row r="28" spans="2:11" ht="21.95" customHeight="1">
      <c r="B28" s="49"/>
      <c r="C28" s="50"/>
      <c r="D28" s="50"/>
      <c r="E28" s="50"/>
      <c r="F28" s="50"/>
      <c r="G28" s="54"/>
      <c r="H28" s="54"/>
      <c r="I28" s="235"/>
      <c r="J28" s="235"/>
      <c r="K28" s="236"/>
    </row>
    <row r="29" spans="2:11" ht="21.95" customHeight="1">
      <c r="B29" s="234" t="s">
        <v>123</v>
      </c>
      <c r="C29" s="235"/>
      <c r="D29" s="235"/>
      <c r="E29" s="235"/>
      <c r="F29" s="235"/>
      <c r="G29" s="235"/>
      <c r="H29" s="235"/>
      <c r="I29" s="235"/>
      <c r="J29" s="235"/>
      <c r="K29" s="236"/>
    </row>
    <row r="30" spans="2:11" ht="12" customHeight="1">
      <c r="B30" s="58"/>
      <c r="C30" s="59"/>
      <c r="D30" s="59"/>
      <c r="E30" s="59"/>
      <c r="F30" s="59"/>
      <c r="G30" s="59"/>
      <c r="H30" s="59"/>
      <c r="I30" s="59"/>
      <c r="J30" s="59"/>
      <c r="K30" s="60"/>
    </row>
    <row r="31" spans="2:11" ht="18" customHeight="1">
      <c r="B31" s="240" t="s">
        <v>121</v>
      </c>
      <c r="C31" s="231"/>
      <c r="D31" s="257">
        <f ca="1">IF('DATA ENTRY'!H18='DATA ENTRY'!Z2,TODAY(),"-------------------")</f>
        <v>45425</v>
      </c>
      <c r="E31" s="257"/>
      <c r="F31" s="50"/>
      <c r="G31" s="50"/>
      <c r="H31" s="50"/>
      <c r="I31" s="50"/>
      <c r="J31" s="50"/>
      <c r="K31" s="51"/>
    </row>
    <row r="32" spans="2:11" ht="13.5" customHeight="1">
      <c r="B32" s="49"/>
      <c r="C32" s="50"/>
      <c r="D32" s="50"/>
      <c r="E32" s="50"/>
      <c r="F32" s="50"/>
      <c r="G32" s="50"/>
      <c r="H32" s="50"/>
      <c r="I32" s="50"/>
      <c r="J32" s="50"/>
      <c r="K32" s="51"/>
    </row>
    <row r="33" spans="2:11" ht="19.5" customHeight="1">
      <c r="B33" s="49"/>
      <c r="C33" s="50"/>
      <c r="D33" s="50"/>
      <c r="E33" s="50"/>
      <c r="F33" s="50"/>
      <c r="G33" s="239" t="s">
        <v>108</v>
      </c>
      <c r="H33" s="239"/>
      <c r="I33" s="239"/>
      <c r="J33" s="239"/>
      <c r="K33" s="51"/>
    </row>
    <row r="34" spans="2:11" ht="19.5" customHeight="1">
      <c r="B34" s="49"/>
      <c r="C34" s="50"/>
      <c r="D34" s="50"/>
      <c r="E34" s="50"/>
      <c r="F34" s="50"/>
      <c r="G34" s="50"/>
      <c r="H34" s="231" t="s">
        <v>122</v>
      </c>
      <c r="I34" s="231"/>
      <c r="J34" s="232" t="s">
        <v>125</v>
      </c>
      <c r="K34" s="233"/>
    </row>
    <row r="35" spans="2:11" ht="21.95" customHeight="1">
      <c r="B35" s="49"/>
      <c r="C35" s="50"/>
      <c r="D35" s="50"/>
      <c r="E35" s="50"/>
      <c r="F35" s="50"/>
      <c r="G35" s="50"/>
      <c r="H35" s="231" t="s">
        <v>109</v>
      </c>
      <c r="I35" s="231"/>
      <c r="J35" s="232" t="s">
        <v>125</v>
      </c>
      <c r="K35" s="233"/>
    </row>
    <row r="36" spans="2:11" ht="14.25" customHeight="1" thickBot="1">
      <c r="B36" s="55"/>
      <c r="C36" s="56"/>
      <c r="D36" s="56"/>
      <c r="E36" s="56"/>
      <c r="F36" s="56"/>
      <c r="G36" s="56"/>
      <c r="H36" s="56"/>
      <c r="I36" s="56"/>
      <c r="J36" s="56"/>
      <c r="K36" s="57"/>
    </row>
  </sheetData>
  <sheetProtection password="8DA4" sheet="1" objects="1" scenarios="1" formatColumns="0" formatRows="0" selectLockedCells="1"/>
  <mergeCells count="40">
    <mergeCell ref="I23:K23"/>
    <mergeCell ref="I24:K24"/>
    <mergeCell ref="I25:K26"/>
    <mergeCell ref="G27:H27"/>
    <mergeCell ref="B31:C31"/>
    <mergeCell ref="D31:E31"/>
    <mergeCell ref="I27:J27"/>
    <mergeCell ref="I28:K28"/>
    <mergeCell ref="D2:J2"/>
    <mergeCell ref="E17:I17"/>
    <mergeCell ref="C18:K18"/>
    <mergeCell ref="C9:K9"/>
    <mergeCell ref="C10:F10"/>
    <mergeCell ref="G12:H12"/>
    <mergeCell ref="G13:H13"/>
    <mergeCell ref="G14:H14"/>
    <mergeCell ref="I12:K12"/>
    <mergeCell ref="I13:K13"/>
    <mergeCell ref="I14:K14"/>
    <mergeCell ref="H4:K4"/>
    <mergeCell ref="D4:G4"/>
    <mergeCell ref="C5:K5"/>
    <mergeCell ref="C6:E6"/>
    <mergeCell ref="D8:G8"/>
    <mergeCell ref="H35:I35"/>
    <mergeCell ref="J35:K35"/>
    <mergeCell ref="B29:K29"/>
    <mergeCell ref="H8:K8"/>
    <mergeCell ref="G33:J33"/>
    <mergeCell ref="H34:I34"/>
    <mergeCell ref="J34:K34"/>
    <mergeCell ref="B19:K19"/>
    <mergeCell ref="B20:K20"/>
    <mergeCell ref="G22:H22"/>
    <mergeCell ref="G23:H23"/>
    <mergeCell ref="F15:H15"/>
    <mergeCell ref="I15:K16"/>
    <mergeCell ref="G24:H24"/>
    <mergeCell ref="F25:H25"/>
    <mergeCell ref="I22:K22"/>
  </mergeCells>
  <pageMargins left="0.7" right="0.45"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rgb="FF00FF00"/>
    <pageSetUpPr fitToPage="1"/>
  </sheetPr>
  <dimension ref="A1:Z30"/>
  <sheetViews>
    <sheetView showGridLines="0" view="pageBreakPreview" topLeftCell="A4" zoomScaleSheetLayoutView="100" workbookViewId="0">
      <selection activeCell="Q21" sqref="Q21"/>
    </sheetView>
  </sheetViews>
  <sheetFormatPr defaultRowHeight="15"/>
  <cols>
    <col min="1" max="1" width="8" style="5" customWidth="1"/>
    <col min="2" max="2" width="10.125" style="5" customWidth="1"/>
    <col min="3" max="3" width="12.5" style="5" customWidth="1"/>
    <col min="4" max="4" width="7.875" style="5" customWidth="1"/>
    <col min="5" max="5" width="6.75" style="5" customWidth="1"/>
    <col min="6" max="6" width="12.5" style="5" customWidth="1"/>
    <col min="7" max="7" width="9.25" style="5" customWidth="1"/>
    <col min="8" max="8" width="7.375" style="5" customWidth="1"/>
    <col min="9" max="9" width="10.75" style="5" customWidth="1"/>
    <col min="10" max="10" width="10.375" style="5" customWidth="1"/>
    <col min="11" max="11" width="7" style="5" customWidth="1"/>
    <col min="12" max="12" width="7.375" style="5" customWidth="1"/>
    <col min="13" max="13" width="7.5" style="5" customWidth="1"/>
    <col min="14" max="14" width="10.375" style="5" customWidth="1"/>
    <col min="15" max="15" width="10.25" style="5" customWidth="1"/>
    <col min="16" max="17" width="9" style="5"/>
    <col min="18" max="18" width="18.625" style="5" customWidth="1"/>
    <col min="19" max="25" width="9" style="5"/>
    <col min="26" max="26" width="0" style="5" hidden="1" customWidth="1"/>
    <col min="27" max="16384" width="9" style="5"/>
  </cols>
  <sheetData>
    <row r="1" spans="1:26" ht="8.25" customHeight="1"/>
    <row r="2" spans="1:26" ht="27" customHeight="1">
      <c r="A2" s="265" t="str">
        <f>CONCATENATE("कार्यालय , ",IF('Master Sheet'!D5="","",'Master Sheet'!D5))</f>
        <v>कार्यालय , महात्मा गाँधी राजकीय विद्यालय (अंग्रेजी माध्यम) बर, (ब्यावर)</v>
      </c>
      <c r="B2" s="265"/>
      <c r="C2" s="265"/>
      <c r="D2" s="265"/>
      <c r="E2" s="265"/>
      <c r="F2" s="265"/>
      <c r="G2" s="265"/>
      <c r="H2" s="265"/>
      <c r="I2" s="265"/>
      <c r="J2" s="265"/>
      <c r="K2" s="265"/>
      <c r="L2" s="265"/>
      <c r="M2" s="265"/>
      <c r="N2" s="265"/>
      <c r="O2" s="265"/>
      <c r="Z2" s="96">
        <f>IF('DATA ENTRY'!D12&lt;7,'DATA ENTRY'!E12,'DATA ENTRY'!E12+1)</f>
        <v>2024</v>
      </c>
    </row>
    <row r="3" spans="1:26" ht="8.25" customHeight="1"/>
    <row r="4" spans="1:26" ht="21" customHeight="1">
      <c r="A4" s="266" t="s">
        <v>75</v>
      </c>
      <c r="B4" s="266"/>
      <c r="C4" s="266"/>
      <c r="D4" s="266"/>
      <c r="E4" s="266"/>
      <c r="F4" s="266"/>
      <c r="G4" s="266"/>
      <c r="H4" s="266"/>
      <c r="I4" s="266"/>
      <c r="J4" s="266"/>
      <c r="K4" s="266"/>
      <c r="L4" s="266"/>
      <c r="M4" s="266"/>
      <c r="N4" s="266"/>
      <c r="O4" s="266"/>
    </row>
    <row r="5" spans="1:26" ht="5.25" customHeight="1">
      <c r="A5" s="71"/>
      <c r="B5" s="71"/>
      <c r="C5" s="71"/>
      <c r="D5" s="71"/>
      <c r="E5" s="71"/>
      <c r="F5" s="71"/>
      <c r="G5" s="71"/>
      <c r="H5" s="71"/>
      <c r="I5" s="71"/>
      <c r="J5" s="71"/>
      <c r="K5" s="71"/>
      <c r="L5" s="71"/>
      <c r="M5" s="71"/>
      <c r="N5" s="71"/>
      <c r="O5" s="71"/>
    </row>
    <row r="6" spans="1:26" ht="18" customHeight="1">
      <c r="B6" s="263" t="s">
        <v>84</v>
      </c>
      <c r="C6" s="263"/>
      <c r="D6" s="263"/>
      <c r="E6" s="263"/>
      <c r="F6" s="263"/>
      <c r="G6" s="263"/>
      <c r="H6" s="263"/>
      <c r="I6" s="263"/>
      <c r="J6" s="263"/>
      <c r="K6" s="263"/>
      <c r="L6" s="263"/>
      <c r="M6" s="263"/>
      <c r="N6" s="263"/>
      <c r="O6" s="263"/>
    </row>
    <row r="7" spans="1:26" ht="18" customHeight="1">
      <c r="A7" s="262" t="s">
        <v>85</v>
      </c>
      <c r="B7" s="262"/>
      <c r="C7" s="262"/>
      <c r="D7" s="262"/>
      <c r="E7" s="259"/>
      <c r="F7" s="259"/>
      <c r="G7" s="262" t="s">
        <v>76</v>
      </c>
      <c r="H7" s="262"/>
      <c r="I7" s="267"/>
      <c r="J7" s="267"/>
      <c r="K7" s="267"/>
      <c r="L7" s="267"/>
      <c r="M7" s="267"/>
      <c r="N7" s="18" t="s">
        <v>77</v>
      </c>
      <c r="O7" s="86"/>
    </row>
    <row r="8" spans="1:26" ht="18" customHeight="1">
      <c r="A8" s="262" t="s">
        <v>91</v>
      </c>
      <c r="B8" s="262"/>
      <c r="C8" s="262"/>
      <c r="D8" s="74" t="s">
        <v>86</v>
      </c>
      <c r="E8" s="262" t="s">
        <v>151</v>
      </c>
      <c r="F8" s="264"/>
      <c r="G8" s="264"/>
      <c r="H8" s="264"/>
      <c r="I8" s="264"/>
      <c r="J8" s="264"/>
      <c r="K8" s="264"/>
      <c r="L8" s="264"/>
      <c r="M8" s="264"/>
      <c r="N8" s="264"/>
      <c r="O8" s="264"/>
      <c r="R8" s="171" t="s">
        <v>202</v>
      </c>
    </row>
    <row r="9" spans="1:26" ht="18" customHeight="1">
      <c r="A9" s="261" t="s">
        <v>87</v>
      </c>
      <c r="B9" s="261"/>
      <c r="C9" s="261"/>
      <c r="D9" s="261"/>
      <c r="E9" s="261"/>
      <c r="F9" s="261"/>
      <c r="G9" s="261"/>
      <c r="H9" s="261"/>
      <c r="R9" s="170" t="s">
        <v>203</v>
      </c>
    </row>
    <row r="10" spans="1:26" ht="9" customHeight="1"/>
    <row r="11" spans="1:26" ht="41.25" customHeight="1">
      <c r="A11" s="258" t="s">
        <v>78</v>
      </c>
      <c r="B11" s="258" t="s">
        <v>79</v>
      </c>
      <c r="C11" s="258"/>
      <c r="D11" s="258" t="s">
        <v>80</v>
      </c>
      <c r="E11" s="258"/>
      <c r="F11" s="260" t="s">
        <v>81</v>
      </c>
      <c r="G11" s="260" t="s">
        <v>133</v>
      </c>
      <c r="H11" s="260" t="s">
        <v>82</v>
      </c>
      <c r="I11" s="260"/>
      <c r="J11" s="260" t="s">
        <v>144</v>
      </c>
      <c r="K11" s="260" t="s">
        <v>146</v>
      </c>
      <c r="L11" s="260"/>
      <c r="M11" s="260"/>
      <c r="N11" s="260" t="s">
        <v>89</v>
      </c>
      <c r="O11" s="260" t="s">
        <v>90</v>
      </c>
    </row>
    <row r="12" spans="1:26" ht="22.5" customHeight="1">
      <c r="A12" s="258"/>
      <c r="B12" s="258"/>
      <c r="C12" s="258"/>
      <c r="D12" s="258"/>
      <c r="E12" s="258"/>
      <c r="F12" s="260"/>
      <c r="G12" s="260"/>
      <c r="H12" s="69" t="s">
        <v>88</v>
      </c>
      <c r="I12" s="69" t="s">
        <v>83</v>
      </c>
      <c r="J12" s="260"/>
      <c r="K12" s="69" t="s">
        <v>88</v>
      </c>
      <c r="L12" s="258" t="s">
        <v>83</v>
      </c>
      <c r="M12" s="258"/>
      <c r="N12" s="260"/>
      <c r="O12" s="260"/>
    </row>
    <row r="13" spans="1:26" ht="21.95" customHeight="1">
      <c r="A13" s="76">
        <v>1</v>
      </c>
      <c r="B13" s="268" t="str">
        <f>IF('Master Sheet'!D11="","",'Master Sheet'!D11)</f>
        <v>HEERALAL JAT</v>
      </c>
      <c r="C13" s="269"/>
      <c r="D13" s="268" t="str">
        <f>IF('Master Sheet'!N11="","",'Master Sheet'!N11)</f>
        <v>Sr. Teacher</v>
      </c>
      <c r="E13" s="269"/>
      <c r="F13" s="89">
        <f>IF(AND('Master Sheet'!E13="",'Master Sheet'!G13="",'Master Sheet'!I13=""),"",DATE('Master Sheet'!I13,'Master Sheet'!G13,'Master Sheet'!E13))</f>
        <v>38718</v>
      </c>
      <c r="G13" s="90">
        <f>IF('DATA ENTRY'!H12="","",'DATA ENTRY'!H12)</f>
        <v>18</v>
      </c>
      <c r="H13" s="40">
        <f>IF('DATA ENTRY'!H14="","",'DATA ENTRY'!H14)</f>
        <v>12</v>
      </c>
      <c r="I13" s="90">
        <f>IF('DATA ENTRY'!C14="","",'DATA ENTRY'!C14)</f>
        <v>57800</v>
      </c>
      <c r="J13" s="89">
        <f>IF(AND('DATA ENTRY'!C12="",'DATA ENTRY'!D12="",'DATA ENTRY'!E12=""),"",DATE('DATA ENTRY'!E12,'DATA ENTRY'!D12,'DATA ENTRY'!C12))</f>
        <v>45114</v>
      </c>
      <c r="K13" s="40">
        <f>IF('DATA ENTRY'!H16="","",'DATA ENTRY'!H16)</f>
        <v>13</v>
      </c>
      <c r="L13" s="270">
        <f>IF('DATA ENTRY'!C16="","",'DATA ENTRY'!C16)</f>
        <v>59700</v>
      </c>
      <c r="M13" s="271"/>
      <c r="N13" s="89">
        <f>IF(L13="","",DATE(Z2,7,1))</f>
        <v>45474</v>
      </c>
      <c r="O13" s="90">
        <f>IF(L13="","",MROUND(L13*1.03,100))</f>
        <v>61500</v>
      </c>
    </row>
    <row r="14" spans="1:26" ht="21.95" customHeight="1">
      <c r="A14" s="76">
        <v>2</v>
      </c>
      <c r="B14" s="268"/>
      <c r="C14" s="269"/>
      <c r="D14" s="268"/>
      <c r="E14" s="269"/>
      <c r="F14" s="89"/>
      <c r="G14" s="87"/>
      <c r="H14" s="87"/>
      <c r="I14" s="87"/>
      <c r="J14" s="87"/>
      <c r="K14" s="87"/>
      <c r="L14" s="272"/>
      <c r="M14" s="272"/>
      <c r="N14" s="87"/>
      <c r="O14" s="77"/>
      <c r="P14" s="88"/>
    </row>
    <row r="15" spans="1:26" ht="21.95" customHeight="1">
      <c r="A15" s="76">
        <v>3</v>
      </c>
      <c r="B15" s="268"/>
      <c r="C15" s="269"/>
      <c r="D15" s="268"/>
      <c r="E15" s="269"/>
      <c r="F15" s="89"/>
      <c r="G15" s="87"/>
      <c r="H15" s="87"/>
      <c r="I15" s="87"/>
      <c r="J15" s="87"/>
      <c r="K15" s="87"/>
      <c r="L15" s="272"/>
      <c r="M15" s="272"/>
      <c r="N15" s="87"/>
      <c r="O15" s="77"/>
    </row>
    <row r="16" spans="1:26" ht="21.95" customHeight="1">
      <c r="A16" s="76">
        <v>4</v>
      </c>
      <c r="B16" s="268"/>
      <c r="C16" s="269"/>
      <c r="D16" s="268"/>
      <c r="E16" s="269"/>
      <c r="F16" s="89"/>
      <c r="G16" s="87"/>
      <c r="H16" s="87"/>
      <c r="I16" s="87"/>
      <c r="J16" s="87"/>
      <c r="K16" s="87"/>
      <c r="L16" s="272"/>
      <c r="M16" s="272"/>
      <c r="N16" s="87"/>
      <c r="O16" s="77"/>
    </row>
    <row r="17" spans="1:15" ht="21.95" customHeight="1">
      <c r="A17" s="76">
        <v>5</v>
      </c>
      <c r="B17" s="268"/>
      <c r="C17" s="269"/>
      <c r="D17" s="268"/>
      <c r="E17" s="269"/>
      <c r="F17" s="89"/>
      <c r="G17" s="87"/>
      <c r="H17" s="87"/>
      <c r="I17" s="87"/>
      <c r="J17" s="87"/>
      <c r="K17" s="87"/>
      <c r="L17" s="272"/>
      <c r="M17" s="272"/>
      <c r="N17" s="87"/>
      <c r="O17" s="77"/>
    </row>
    <row r="18" spans="1:15" ht="5.25" customHeight="1"/>
    <row r="19" spans="1:15" ht="18.95" customHeight="1">
      <c r="A19" s="17" t="s">
        <v>92</v>
      </c>
      <c r="B19" s="261" t="s">
        <v>93</v>
      </c>
      <c r="C19" s="261"/>
      <c r="D19" s="261"/>
      <c r="E19" s="261"/>
      <c r="F19" s="261"/>
      <c r="G19" s="261"/>
      <c r="H19" s="261"/>
      <c r="I19" s="261"/>
      <c r="J19" s="261"/>
      <c r="K19" s="261"/>
      <c r="L19" s="261"/>
      <c r="M19" s="261"/>
      <c r="N19" s="261"/>
      <c r="O19" s="261"/>
    </row>
    <row r="20" spans="1:15" ht="28.5" customHeight="1">
      <c r="A20" s="78"/>
      <c r="B20" s="78"/>
      <c r="C20" s="78"/>
      <c r="D20" s="78"/>
      <c r="E20" s="78"/>
      <c r="F20" s="78"/>
      <c r="G20" s="78"/>
      <c r="H20" s="78"/>
      <c r="I20" s="78"/>
      <c r="M20" s="278" t="str">
        <f>CONCATENATE("( ",IF('Master Sheet'!D9="","",UPPER('Master Sheet'!D9))," ) ",)</f>
        <v xml:space="preserve">( USHA PALIYA ) </v>
      </c>
      <c r="N20" s="278"/>
      <c r="O20" s="278"/>
    </row>
    <row r="21" spans="1:15">
      <c r="A21" s="78"/>
      <c r="B21" s="78"/>
      <c r="C21" s="78"/>
      <c r="D21" s="78"/>
      <c r="E21" s="78"/>
      <c r="F21" s="78"/>
      <c r="G21" s="78"/>
      <c r="H21" s="78"/>
      <c r="I21" s="78"/>
      <c r="M21" s="273" t="str">
        <f>IF('Master Sheet'!N9="","",'Master Sheet'!N9)</f>
        <v>प्रधानाचार्य</v>
      </c>
      <c r="N21" s="273"/>
      <c r="O21" s="273"/>
    </row>
    <row r="22" spans="1:15">
      <c r="A22" s="79"/>
      <c r="B22" s="275"/>
      <c r="C22" s="275"/>
      <c r="D22" s="275"/>
      <c r="E22" s="275"/>
      <c r="F22" s="275"/>
      <c r="G22" s="79"/>
      <c r="H22" s="78"/>
      <c r="I22" s="78"/>
      <c r="M22" s="274" t="str">
        <f>CONCATENATE(IF('Master Sheet'!D5="","",UPPER('Master Sheet'!D5))," , ",IF('Master Sheet'!Q9="","",'Master Sheet'!Q9))</f>
        <v>महात्मा गाँधी राजकीय विद्यालय (अंग्रेजी माध्यम) बर, (ब्यावर) , 11111</v>
      </c>
      <c r="N22" s="274"/>
      <c r="O22" s="274"/>
    </row>
    <row r="23" spans="1:15">
      <c r="A23" s="80"/>
      <c r="B23" s="80"/>
      <c r="C23" s="80"/>
      <c r="D23" s="80"/>
      <c r="E23" s="80"/>
      <c r="F23" s="80"/>
      <c r="G23" s="80"/>
      <c r="H23" s="81"/>
      <c r="I23" s="81"/>
      <c r="J23" s="81"/>
      <c r="K23" s="81"/>
      <c r="L23" s="81"/>
      <c r="M23" s="274"/>
      <c r="N23" s="274"/>
      <c r="O23" s="274"/>
    </row>
    <row r="24" spans="1:15" ht="15.75">
      <c r="A24" s="82" t="s">
        <v>95</v>
      </c>
      <c r="B24" s="276"/>
      <c r="C24" s="276"/>
      <c r="D24" s="276"/>
      <c r="E24" s="276"/>
      <c r="F24" s="276"/>
      <c r="G24" s="82"/>
      <c r="H24" s="81"/>
      <c r="I24" s="81"/>
      <c r="J24" s="83" t="s">
        <v>98</v>
      </c>
      <c r="K24" s="277">
        <f ca="1">TODAY()</f>
        <v>45425</v>
      </c>
      <c r="L24" s="277"/>
    </row>
    <row r="25" spans="1:15" ht="17.25" customHeight="1">
      <c r="A25" s="279" t="s">
        <v>96</v>
      </c>
      <c r="B25" s="279"/>
      <c r="C25" s="279"/>
      <c r="D25" s="279"/>
      <c r="E25" s="279"/>
      <c r="F25" s="80"/>
      <c r="G25" s="80"/>
      <c r="H25" s="81"/>
      <c r="I25" s="81"/>
      <c r="J25" s="81"/>
      <c r="K25" s="81"/>
      <c r="L25" s="81"/>
    </row>
    <row r="26" spans="1:15">
      <c r="A26" s="84">
        <v>1</v>
      </c>
      <c r="B26" s="280" t="s">
        <v>99</v>
      </c>
      <c r="C26" s="280"/>
      <c r="D26" s="280"/>
      <c r="E26" s="281"/>
      <c r="F26" s="281"/>
      <c r="G26" s="81"/>
      <c r="H26" s="81"/>
      <c r="I26" s="81"/>
      <c r="J26" s="81"/>
      <c r="K26" s="81"/>
      <c r="L26" s="81"/>
    </row>
    <row r="27" spans="1:15">
      <c r="A27" s="84">
        <v>2</v>
      </c>
      <c r="B27" s="280" t="s">
        <v>97</v>
      </c>
      <c r="C27" s="280"/>
      <c r="D27" s="280"/>
      <c r="E27" s="85"/>
      <c r="F27" s="81"/>
      <c r="G27" s="81"/>
      <c r="H27" s="81"/>
      <c r="I27" s="81"/>
      <c r="J27" s="81"/>
      <c r="K27" s="81"/>
      <c r="L27" s="81"/>
      <c r="M27" s="278" t="str">
        <f>CONCATENATE("( ",IF('Master Sheet'!D9="","",UPPER('Master Sheet'!D9))," ) ",)</f>
        <v xml:space="preserve">( USHA PALIYA ) </v>
      </c>
      <c r="N27" s="278"/>
      <c r="O27" s="278"/>
    </row>
    <row r="28" spans="1:15">
      <c r="A28" s="84">
        <v>3</v>
      </c>
      <c r="B28" s="280" t="s">
        <v>101</v>
      </c>
      <c r="C28" s="280"/>
      <c r="D28" s="282" t="str">
        <f>CONCATENATE(IF('Master Sheet'!D11="","",'Master Sheet'!D11),",  ",IF('Master Sheet'!N11="","",'Master Sheet'!N11))</f>
        <v>HEERALAL JAT,  Sr. Teacher</v>
      </c>
      <c r="E28" s="282"/>
      <c r="F28" s="282"/>
      <c r="G28" s="282"/>
      <c r="H28" s="282"/>
      <c r="I28" s="81"/>
      <c r="J28" s="81"/>
      <c r="K28" s="81"/>
      <c r="L28" s="81"/>
      <c r="M28" s="273" t="str">
        <f>IF('Master Sheet'!N9="","",'Master Sheet'!N9)</f>
        <v>प्रधानाचार्य</v>
      </c>
      <c r="N28" s="273"/>
      <c r="O28" s="273"/>
    </row>
    <row r="29" spans="1:15">
      <c r="A29" s="84">
        <v>4</v>
      </c>
      <c r="B29" s="280" t="s">
        <v>100</v>
      </c>
      <c r="C29" s="280"/>
      <c r="D29" s="280"/>
      <c r="E29" s="282" t="str">
        <f>CONCATENATE(IF('Master Sheet'!D11="","",'Master Sheet'!D11),",  ",IF('Master Sheet'!N11="","",'Master Sheet'!N11))</f>
        <v>HEERALAL JAT,  Sr. Teacher</v>
      </c>
      <c r="F29" s="282"/>
      <c r="G29" s="282"/>
      <c r="H29" s="282"/>
      <c r="I29" s="282"/>
      <c r="J29" s="81"/>
      <c r="K29" s="81"/>
      <c r="L29" s="81"/>
      <c r="M29" s="274" t="str">
        <f>CONCATENATE(IF('Master Sheet'!D5="","",UPPER('Master Sheet'!D5))," , ",IF('Master Sheet'!Q9="","",'Master Sheet'!Q9))</f>
        <v>महात्मा गाँधी राजकीय विद्यालय (अंग्रेजी माध्यम) बर, (ब्यावर) , 11111</v>
      </c>
      <c r="N29" s="274"/>
      <c r="O29" s="274"/>
    </row>
    <row r="30" spans="1:15">
      <c r="A30" s="81"/>
      <c r="B30" s="81"/>
      <c r="C30" s="81"/>
      <c r="D30" s="81"/>
      <c r="E30" s="81"/>
      <c r="F30" s="81"/>
      <c r="G30" s="81"/>
      <c r="H30" s="81"/>
      <c r="I30" s="81"/>
      <c r="J30" s="81"/>
      <c r="K30" s="81"/>
      <c r="L30" s="81"/>
      <c r="M30" s="274"/>
      <c r="N30" s="274"/>
      <c r="O30" s="274"/>
    </row>
  </sheetData>
  <sheetProtection password="8DA4" sheet="1" objects="1" scenarios="1" formatColumns="0" formatRows="0"/>
  <mergeCells count="54">
    <mergeCell ref="M28:O28"/>
    <mergeCell ref="M29:O30"/>
    <mergeCell ref="A25:E25"/>
    <mergeCell ref="B26:D26"/>
    <mergeCell ref="E26:F26"/>
    <mergeCell ref="B27:D27"/>
    <mergeCell ref="B29:D29"/>
    <mergeCell ref="B28:C28"/>
    <mergeCell ref="D28:H28"/>
    <mergeCell ref="E29:I29"/>
    <mergeCell ref="M27:O27"/>
    <mergeCell ref="B19:O19"/>
    <mergeCell ref="M21:O21"/>
    <mergeCell ref="M22:O23"/>
    <mergeCell ref="B22:F22"/>
    <mergeCell ref="B24:F24"/>
    <mergeCell ref="K24:L24"/>
    <mergeCell ref="M20:O20"/>
    <mergeCell ref="B16:C16"/>
    <mergeCell ref="D16:E16"/>
    <mergeCell ref="L16:M16"/>
    <mergeCell ref="B17:C17"/>
    <mergeCell ref="D17:E17"/>
    <mergeCell ref="L17:M17"/>
    <mergeCell ref="B14:C14"/>
    <mergeCell ref="D14:E14"/>
    <mergeCell ref="L14:M14"/>
    <mergeCell ref="B15:C15"/>
    <mergeCell ref="D15:E15"/>
    <mergeCell ref="L15:M15"/>
    <mergeCell ref="N11:N12"/>
    <mergeCell ref="O11:O12"/>
    <mergeCell ref="B13:C13"/>
    <mergeCell ref="D13:E13"/>
    <mergeCell ref="L13:M13"/>
    <mergeCell ref="G11:G12"/>
    <mergeCell ref="H11:I11"/>
    <mergeCell ref="J11:J12"/>
    <mergeCell ref="K11:M11"/>
    <mergeCell ref="L12:M12"/>
    <mergeCell ref="B6:O6"/>
    <mergeCell ref="E8:O8"/>
    <mergeCell ref="A2:O2"/>
    <mergeCell ref="A4:O4"/>
    <mergeCell ref="G7:H7"/>
    <mergeCell ref="I7:M7"/>
    <mergeCell ref="A8:C8"/>
    <mergeCell ref="A11:A12"/>
    <mergeCell ref="E7:F7"/>
    <mergeCell ref="B11:C12"/>
    <mergeCell ref="D11:E12"/>
    <mergeCell ref="F11:F12"/>
    <mergeCell ref="A9:H9"/>
    <mergeCell ref="A7:D7"/>
  </mergeCells>
  <pageMargins left="0.45" right="0.2" top="0.25" bottom="0.2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C00000"/>
    <pageSetUpPr fitToPage="1"/>
  </sheetPr>
  <dimension ref="A1:Z31"/>
  <sheetViews>
    <sheetView showGridLines="0" view="pageBreakPreview" zoomScaleSheetLayoutView="100" workbookViewId="0">
      <selection activeCell="R17" sqref="R17"/>
    </sheetView>
  </sheetViews>
  <sheetFormatPr defaultRowHeight="15"/>
  <cols>
    <col min="1" max="1" width="8" style="5" customWidth="1"/>
    <col min="2" max="2" width="10.125" style="5" customWidth="1"/>
    <col min="3" max="3" width="12.5" style="5" customWidth="1"/>
    <col min="4" max="4" width="7.875" style="5" customWidth="1"/>
    <col min="5" max="5" width="6.75" style="5" customWidth="1"/>
    <col min="6" max="6" width="12.5" style="5" customWidth="1"/>
    <col min="7" max="7" width="9.25" style="5" customWidth="1"/>
    <col min="8" max="8" width="9.875" style="5" customWidth="1"/>
    <col min="9" max="9" width="7.375" style="5" customWidth="1"/>
    <col min="10" max="10" width="9.5" style="5" customWidth="1"/>
    <col min="11" max="11" width="10.375" style="5" customWidth="1"/>
    <col min="12" max="12" width="6.5" style="5" customWidth="1"/>
    <col min="13" max="13" width="8.5" style="5" customWidth="1"/>
    <col min="14" max="14" width="10.375" style="5" customWidth="1"/>
    <col min="15" max="15" width="9.75" style="5" customWidth="1"/>
    <col min="16" max="17" width="9" style="5"/>
    <col min="18" max="18" width="21" style="5" customWidth="1"/>
    <col min="19" max="25" width="9" style="5"/>
    <col min="26" max="26" width="9" style="5" hidden="1" customWidth="1"/>
    <col min="27" max="16384" width="9" style="5"/>
  </cols>
  <sheetData>
    <row r="1" spans="1:26" ht="8.25" customHeight="1"/>
    <row r="2" spans="1:26" ht="27.75" customHeight="1">
      <c r="A2" s="265" t="str">
        <f>CONCATENATE("कार्यालय , ",IF('Master Sheet'!D5="","",'Master Sheet'!D5))</f>
        <v>कार्यालय , महात्मा गाँधी राजकीय विद्यालय (अंग्रेजी माध्यम) बर, (ब्यावर)</v>
      </c>
      <c r="B2" s="265"/>
      <c r="C2" s="265"/>
      <c r="D2" s="265"/>
      <c r="E2" s="265"/>
      <c r="F2" s="265"/>
      <c r="G2" s="265"/>
      <c r="H2" s="265"/>
      <c r="I2" s="265"/>
      <c r="J2" s="265"/>
      <c r="K2" s="265"/>
      <c r="L2" s="265"/>
      <c r="M2" s="265"/>
      <c r="N2" s="265"/>
      <c r="O2" s="265"/>
      <c r="Z2" s="96">
        <f>IF('DATA ENTRY'!D27&lt;7,'DATA ENTRY'!E27,'DATA ENTRY'!E27+1)</f>
        <v>2023</v>
      </c>
    </row>
    <row r="3" spans="1:26" ht="8.25" customHeight="1"/>
    <row r="4" spans="1:26" ht="21" customHeight="1">
      <c r="A4" s="266" t="s">
        <v>75</v>
      </c>
      <c r="B4" s="266"/>
      <c r="C4" s="266"/>
      <c r="D4" s="266"/>
      <c r="E4" s="266"/>
      <c r="F4" s="266"/>
      <c r="G4" s="266"/>
      <c r="H4" s="266"/>
      <c r="I4" s="266"/>
      <c r="J4" s="266"/>
      <c r="K4" s="266"/>
      <c r="L4" s="266"/>
      <c r="M4" s="266"/>
      <c r="N4" s="266"/>
      <c r="O4" s="266"/>
    </row>
    <row r="5" spans="1:26" ht="5.25" customHeight="1">
      <c r="A5" s="71"/>
      <c r="B5" s="71"/>
      <c r="C5" s="71"/>
      <c r="D5" s="71"/>
      <c r="E5" s="71"/>
      <c r="F5" s="71"/>
      <c r="G5" s="71"/>
      <c r="H5" s="71"/>
      <c r="I5" s="71"/>
      <c r="J5" s="71"/>
      <c r="K5" s="71"/>
      <c r="L5" s="71"/>
      <c r="M5" s="71"/>
      <c r="N5" s="71"/>
      <c r="O5" s="71"/>
    </row>
    <row r="6" spans="1:26" ht="18" customHeight="1">
      <c r="B6" s="263" t="s">
        <v>84</v>
      </c>
      <c r="C6" s="263"/>
      <c r="D6" s="263"/>
      <c r="E6" s="263"/>
      <c r="F6" s="263"/>
      <c r="G6" s="263"/>
      <c r="H6" s="263"/>
      <c r="I6" s="263"/>
      <c r="J6" s="263"/>
      <c r="K6" s="263"/>
      <c r="L6" s="263"/>
      <c r="M6" s="263"/>
      <c r="N6" s="263"/>
      <c r="O6" s="263"/>
    </row>
    <row r="7" spans="1:26" ht="18" customHeight="1">
      <c r="A7" s="262" t="s">
        <v>85</v>
      </c>
      <c r="B7" s="262"/>
      <c r="C7" s="262"/>
      <c r="D7" s="262"/>
      <c r="E7" s="259"/>
      <c r="F7" s="259"/>
      <c r="G7" s="262" t="s">
        <v>76</v>
      </c>
      <c r="H7" s="262"/>
      <c r="I7" s="287"/>
      <c r="J7" s="287"/>
      <c r="K7" s="287"/>
      <c r="L7" s="287"/>
      <c r="M7" s="287"/>
      <c r="N7" s="73" t="s">
        <v>77</v>
      </c>
      <c r="O7" s="86"/>
    </row>
    <row r="8" spans="1:26" ht="18" customHeight="1">
      <c r="A8" s="262" t="s">
        <v>91</v>
      </c>
      <c r="B8" s="262"/>
      <c r="C8" s="262"/>
      <c r="D8" s="74" t="s">
        <v>86</v>
      </c>
      <c r="E8" s="262" t="s">
        <v>131</v>
      </c>
      <c r="F8" s="264"/>
      <c r="G8" s="264"/>
      <c r="H8" s="264"/>
      <c r="I8" s="264"/>
      <c r="J8" s="264"/>
      <c r="K8" s="264"/>
      <c r="L8" s="264"/>
      <c r="M8" s="264"/>
      <c r="N8" s="264"/>
      <c r="O8" s="264"/>
      <c r="R8" s="171" t="s">
        <v>202</v>
      </c>
    </row>
    <row r="9" spans="1:26" ht="18" customHeight="1">
      <c r="A9" s="283" t="s">
        <v>130</v>
      </c>
      <c r="B9" s="283"/>
      <c r="C9" s="283"/>
      <c r="D9" s="283"/>
      <c r="E9" s="283"/>
      <c r="F9" s="283"/>
      <c r="G9" s="283"/>
      <c r="H9" s="283"/>
      <c r="I9" s="283"/>
      <c r="J9" s="283"/>
      <c r="K9" s="283"/>
      <c r="L9" s="283"/>
      <c r="M9" s="283"/>
      <c r="N9" s="283"/>
      <c r="O9" s="283"/>
      <c r="R9" s="170" t="s">
        <v>203</v>
      </c>
    </row>
    <row r="10" spans="1:26" ht="18" customHeight="1">
      <c r="A10" s="261" t="s">
        <v>132</v>
      </c>
      <c r="B10" s="261"/>
      <c r="C10" s="261"/>
      <c r="D10" s="261"/>
      <c r="E10" s="261"/>
      <c r="F10" s="261"/>
      <c r="G10" s="261"/>
      <c r="H10" s="261"/>
      <c r="I10" s="261"/>
      <c r="J10" s="261"/>
      <c r="K10" s="261"/>
      <c r="L10" s="261"/>
      <c r="M10" s="261"/>
      <c r="N10" s="261"/>
    </row>
    <row r="11" spans="1:26" ht="9" customHeight="1"/>
    <row r="12" spans="1:26" ht="47.25" customHeight="1">
      <c r="A12" s="258" t="s">
        <v>78</v>
      </c>
      <c r="B12" s="258" t="s">
        <v>79</v>
      </c>
      <c r="C12" s="258"/>
      <c r="D12" s="258" t="s">
        <v>80</v>
      </c>
      <c r="E12" s="258"/>
      <c r="F12" s="260" t="s">
        <v>81</v>
      </c>
      <c r="G12" s="260" t="s">
        <v>133</v>
      </c>
      <c r="H12" s="284" t="s">
        <v>145</v>
      </c>
      <c r="I12" s="285"/>
      <c r="J12" s="286"/>
      <c r="K12" s="260" t="s">
        <v>144</v>
      </c>
      <c r="L12" s="260" t="s">
        <v>146</v>
      </c>
      <c r="M12" s="260"/>
      <c r="N12" s="260" t="s">
        <v>89</v>
      </c>
      <c r="O12" s="260" t="s">
        <v>90</v>
      </c>
    </row>
    <row r="13" spans="1:26" ht="21.75" customHeight="1">
      <c r="A13" s="258"/>
      <c r="B13" s="258"/>
      <c r="C13" s="258"/>
      <c r="D13" s="258"/>
      <c r="E13" s="258"/>
      <c r="F13" s="260"/>
      <c r="G13" s="260"/>
      <c r="H13" s="104" t="s">
        <v>134</v>
      </c>
      <c r="I13" s="75" t="s">
        <v>88</v>
      </c>
      <c r="J13" s="75" t="s">
        <v>83</v>
      </c>
      <c r="K13" s="260"/>
      <c r="L13" s="75" t="s">
        <v>88</v>
      </c>
      <c r="M13" s="101" t="s">
        <v>83</v>
      </c>
      <c r="N13" s="260"/>
      <c r="O13" s="260"/>
    </row>
    <row r="14" spans="1:26" ht="21.95" customHeight="1">
      <c r="A14" s="76">
        <v>1</v>
      </c>
      <c r="B14" s="268" t="str">
        <f>IF('Master Sheet'!D11="","",'Master Sheet'!D11)</f>
        <v>HEERALAL JAT</v>
      </c>
      <c r="C14" s="269"/>
      <c r="D14" s="268" t="str">
        <f>IF('Master Sheet'!N11="","",'Master Sheet'!N11)</f>
        <v>Sr. Teacher</v>
      </c>
      <c r="E14" s="269"/>
      <c r="F14" s="89">
        <f>IF(AND('Master Sheet'!E13="",'Master Sheet'!G13="",'Master Sheet'!I13=""),"",DATE('Master Sheet'!I13,'Master Sheet'!G13,'Master Sheet'!E13))</f>
        <v>38718</v>
      </c>
      <c r="G14" s="90">
        <f>IF('DATA ENTRY'!H12="","",'DATA ENTRY'!H12)</f>
        <v>18</v>
      </c>
      <c r="H14" s="89">
        <f>IF(AND('DATA ENTRY'!C21="",'DATA ENTRY'!D21="",'DATA ENTRY'!E21=""),"",DATE('DATA ENTRY'!E21,'DATA ENTRY'!D21,'DATA ENTRY'!C21))</f>
        <v>44841</v>
      </c>
      <c r="I14" s="103">
        <f>IF('DATA ENTRY'!H23="","",'DATA ENTRY'!H23)</f>
        <v>13</v>
      </c>
      <c r="J14" s="90">
        <f>IF('DATA ENTRY'!C23="","",'DATA ENTRY'!C23)</f>
        <v>59700</v>
      </c>
      <c r="K14" s="89">
        <f>IF(AND('DATA ENTRY'!C27="",'DATA ENTRY'!D27="",'DATA ENTRY'!E27=""),"",DATE('DATA ENTRY'!E27,'DATA ENTRY'!D27,'DATA ENTRY'!C27))</f>
        <v>45017</v>
      </c>
      <c r="L14" s="40">
        <f>IF('DATA ENTRY'!H25="","",'DATA ENTRY'!H25)</f>
        <v>14</v>
      </c>
      <c r="M14" s="100">
        <f>IF('DATA ENTRY'!C25="","",'DATA ENTRY'!C25)</f>
        <v>61300</v>
      </c>
      <c r="N14" s="89">
        <f>IF(M14="","",DATE(Z2,7,1))</f>
        <v>45108</v>
      </c>
      <c r="O14" s="90">
        <f>IF(M14="","",MROUND(M14*1.03,100))</f>
        <v>63100</v>
      </c>
    </row>
    <row r="15" spans="1:26" ht="21.95" customHeight="1">
      <c r="A15" s="76">
        <v>2</v>
      </c>
      <c r="B15" s="268"/>
      <c r="C15" s="269"/>
      <c r="D15" s="268"/>
      <c r="E15" s="269"/>
      <c r="F15" s="89"/>
      <c r="G15" s="87"/>
      <c r="H15" s="89"/>
      <c r="I15" s="87"/>
      <c r="J15" s="87"/>
      <c r="K15" s="87"/>
      <c r="L15" s="87"/>
      <c r="M15" s="99"/>
      <c r="N15" s="87"/>
      <c r="O15" s="77"/>
      <c r="P15" s="88"/>
    </row>
    <row r="16" spans="1:26" ht="21.95" customHeight="1">
      <c r="A16" s="76">
        <v>3</v>
      </c>
      <c r="B16" s="268"/>
      <c r="C16" s="269"/>
      <c r="D16" s="268"/>
      <c r="E16" s="269"/>
      <c r="F16" s="89"/>
      <c r="G16" s="87"/>
      <c r="H16" s="89"/>
      <c r="I16" s="87"/>
      <c r="J16" s="87"/>
      <c r="K16" s="87"/>
      <c r="L16" s="87"/>
      <c r="M16" s="99"/>
      <c r="N16" s="87"/>
      <c r="O16" s="77"/>
    </row>
    <row r="17" spans="1:15" ht="21.95" customHeight="1">
      <c r="A17" s="76">
        <v>4</v>
      </c>
      <c r="B17" s="268"/>
      <c r="C17" s="269"/>
      <c r="D17" s="268"/>
      <c r="E17" s="269"/>
      <c r="F17" s="89"/>
      <c r="G17" s="87"/>
      <c r="H17" s="89"/>
      <c r="I17" s="87"/>
      <c r="J17" s="87"/>
      <c r="K17" s="87"/>
      <c r="L17" s="87"/>
      <c r="M17" s="99"/>
      <c r="N17" s="87"/>
      <c r="O17" s="77"/>
    </row>
    <row r="18" spans="1:15" ht="21.95" customHeight="1">
      <c r="A18" s="76">
        <v>5</v>
      </c>
      <c r="B18" s="268"/>
      <c r="C18" s="269"/>
      <c r="D18" s="268"/>
      <c r="E18" s="269"/>
      <c r="F18" s="89"/>
      <c r="G18" s="87"/>
      <c r="H18" s="89"/>
      <c r="I18" s="87"/>
      <c r="J18" s="87"/>
      <c r="K18" s="87"/>
      <c r="L18" s="87"/>
      <c r="M18" s="99"/>
      <c r="N18" s="87"/>
      <c r="O18" s="77"/>
    </row>
    <row r="19" spans="1:15" ht="5.25" customHeight="1"/>
    <row r="20" spans="1:15" ht="23.25" customHeight="1">
      <c r="A20" s="72" t="s">
        <v>92</v>
      </c>
      <c r="B20" s="261" t="s">
        <v>93</v>
      </c>
      <c r="C20" s="261"/>
      <c r="D20" s="261"/>
      <c r="E20" s="261"/>
      <c r="F20" s="261"/>
      <c r="G20" s="261"/>
      <c r="H20" s="261"/>
      <c r="I20" s="261"/>
      <c r="J20" s="261"/>
      <c r="K20" s="261"/>
      <c r="L20" s="261"/>
      <c r="M20" s="261"/>
      <c r="N20" s="261"/>
      <c r="O20" s="261"/>
    </row>
    <row r="21" spans="1:15" ht="25.5" customHeight="1">
      <c r="A21" s="78"/>
      <c r="B21" s="78"/>
      <c r="C21" s="78"/>
      <c r="D21" s="78"/>
      <c r="E21" s="78"/>
      <c r="F21" s="78"/>
      <c r="G21" s="78"/>
      <c r="H21" s="78"/>
      <c r="I21" s="78"/>
      <c r="J21" s="78"/>
      <c r="L21" s="278" t="str">
        <f>CONCATENATE("( ",IF('Master Sheet'!D9="","",UPPER('Master Sheet'!D9))," ) ",)</f>
        <v xml:space="preserve">( USHA PALIYA ) </v>
      </c>
      <c r="M21" s="278"/>
      <c r="N21" s="278"/>
      <c r="O21" s="278"/>
    </row>
    <row r="22" spans="1:15">
      <c r="A22" s="78"/>
      <c r="B22" s="78"/>
      <c r="C22" s="78"/>
      <c r="D22" s="78"/>
      <c r="E22" s="78"/>
      <c r="F22" s="78"/>
      <c r="G22" s="78"/>
      <c r="H22" s="78"/>
      <c r="I22" s="78"/>
      <c r="J22" s="78"/>
      <c r="L22" s="273" t="s">
        <v>94</v>
      </c>
      <c r="M22" s="273"/>
      <c r="N22" s="273"/>
      <c r="O22" s="273"/>
    </row>
    <row r="23" spans="1:15">
      <c r="A23" s="79"/>
      <c r="B23" s="275"/>
      <c r="C23" s="275"/>
      <c r="D23" s="275"/>
      <c r="E23" s="275"/>
      <c r="F23" s="275"/>
      <c r="G23" s="79"/>
      <c r="H23" s="79"/>
      <c r="I23" s="78"/>
      <c r="J23" s="78"/>
      <c r="L23" s="274" t="str">
        <f>CONCATENATE(IF('Master Sheet'!D5="","",UPPER('Master Sheet'!D5))," , ",IF('Master Sheet'!Q9="","",'Master Sheet'!Q9))</f>
        <v>महात्मा गाँधी राजकीय विद्यालय (अंग्रेजी माध्यम) बर, (ब्यावर) , 11111</v>
      </c>
      <c r="M23" s="274"/>
      <c r="N23" s="274"/>
      <c r="O23" s="274"/>
    </row>
    <row r="24" spans="1:15">
      <c r="A24" s="80"/>
      <c r="B24" s="80"/>
      <c r="C24" s="80"/>
      <c r="D24" s="80"/>
      <c r="E24" s="80"/>
      <c r="F24" s="80"/>
      <c r="G24" s="80"/>
      <c r="H24" s="80"/>
      <c r="I24" s="81"/>
      <c r="J24" s="81"/>
      <c r="K24" s="81"/>
      <c r="L24" s="274"/>
      <c r="M24" s="274"/>
      <c r="N24" s="274"/>
      <c r="O24" s="274"/>
    </row>
    <row r="25" spans="1:15" ht="15.75">
      <c r="A25" s="82" t="s">
        <v>95</v>
      </c>
      <c r="B25" s="276"/>
      <c r="C25" s="276"/>
      <c r="D25" s="276"/>
      <c r="E25" s="276"/>
      <c r="F25" s="276"/>
      <c r="G25" s="82"/>
      <c r="H25" s="82"/>
      <c r="I25" s="81"/>
      <c r="J25" s="81"/>
      <c r="K25" s="83" t="s">
        <v>98</v>
      </c>
      <c r="L25" s="277">
        <f ca="1">TODAY()</f>
        <v>45425</v>
      </c>
      <c r="M25" s="277"/>
    </row>
    <row r="26" spans="1:15" ht="17.25" customHeight="1">
      <c r="A26" s="279" t="s">
        <v>96</v>
      </c>
      <c r="B26" s="279"/>
      <c r="C26" s="279"/>
      <c r="D26" s="279"/>
      <c r="E26" s="279"/>
      <c r="F26" s="80"/>
      <c r="G26" s="80"/>
      <c r="H26" s="80"/>
      <c r="I26" s="81"/>
      <c r="J26" s="81"/>
      <c r="K26" s="81"/>
      <c r="L26" s="81"/>
      <c r="M26" s="81"/>
    </row>
    <row r="27" spans="1:15">
      <c r="A27" s="84">
        <v>1</v>
      </c>
      <c r="B27" s="280" t="s">
        <v>99</v>
      </c>
      <c r="C27" s="280"/>
      <c r="D27" s="280"/>
      <c r="E27" s="281"/>
      <c r="F27" s="281"/>
      <c r="G27" s="81"/>
      <c r="H27" s="81"/>
      <c r="I27" s="81"/>
      <c r="J27" s="81"/>
      <c r="K27" s="81"/>
      <c r="L27" s="81"/>
      <c r="M27" s="81"/>
    </row>
    <row r="28" spans="1:15">
      <c r="A28" s="84">
        <v>2</v>
      </c>
      <c r="B28" s="280" t="s">
        <v>97</v>
      </c>
      <c r="C28" s="280"/>
      <c r="D28" s="280"/>
      <c r="E28" s="85"/>
      <c r="F28" s="81"/>
      <c r="G28" s="81"/>
      <c r="H28" s="81"/>
      <c r="I28" s="81"/>
      <c r="J28" s="81"/>
      <c r="K28" s="81"/>
      <c r="L28" s="278" t="str">
        <f>CONCATENATE("( ",IF('Master Sheet'!D9="","",UPPER('Master Sheet'!D9))," ) ",)</f>
        <v xml:space="preserve">( USHA PALIYA ) </v>
      </c>
      <c r="M28" s="278"/>
      <c r="N28" s="278"/>
      <c r="O28" s="278"/>
    </row>
    <row r="29" spans="1:15">
      <c r="A29" s="84">
        <v>3</v>
      </c>
      <c r="B29" s="280" t="s">
        <v>101</v>
      </c>
      <c r="C29" s="280"/>
      <c r="D29" s="282" t="str">
        <f>CONCATENATE(IF('Master Sheet'!D11="","",'Master Sheet'!D11),",  ",IF('Master Sheet'!N11="","",'Master Sheet'!N11))</f>
        <v>HEERALAL JAT,  Sr. Teacher</v>
      </c>
      <c r="E29" s="282"/>
      <c r="F29" s="282"/>
      <c r="G29" s="282"/>
      <c r="H29" s="282"/>
      <c r="I29" s="282"/>
      <c r="J29" s="81"/>
      <c r="K29" s="81"/>
      <c r="L29" s="273" t="s">
        <v>94</v>
      </c>
      <c r="M29" s="273"/>
      <c r="N29" s="273"/>
      <c r="O29" s="273"/>
    </row>
    <row r="30" spans="1:15">
      <c r="A30" s="84">
        <v>4</v>
      </c>
      <c r="B30" s="280" t="s">
        <v>100</v>
      </c>
      <c r="C30" s="280"/>
      <c r="D30" s="280"/>
      <c r="E30" s="282" t="str">
        <f>CONCATENATE(IF('Master Sheet'!D11="","",'Master Sheet'!D11),",  ",IF('Master Sheet'!N11="","",'Master Sheet'!N11))</f>
        <v>HEERALAL JAT,  Sr. Teacher</v>
      </c>
      <c r="F30" s="282"/>
      <c r="G30" s="282"/>
      <c r="H30" s="282"/>
      <c r="I30" s="282"/>
      <c r="J30" s="282"/>
      <c r="K30" s="81"/>
      <c r="L30" s="274" t="str">
        <f>CONCATENATE(IF('Master Sheet'!D5="","",UPPER('Master Sheet'!D5))," , ",IF('Master Sheet'!Q9="","",'Master Sheet'!Q9))</f>
        <v>महात्मा गाँधी राजकीय विद्यालय (अंग्रेजी माध्यम) बर, (ब्यावर) , 11111</v>
      </c>
      <c r="M30" s="274"/>
      <c r="N30" s="274"/>
      <c r="O30" s="274"/>
    </row>
    <row r="31" spans="1:15">
      <c r="A31" s="81"/>
      <c r="B31" s="81"/>
      <c r="C31" s="81"/>
      <c r="D31" s="81"/>
      <c r="E31" s="81"/>
      <c r="F31" s="81"/>
      <c r="G31" s="81"/>
      <c r="H31" s="81"/>
      <c r="I31" s="81"/>
      <c r="J31" s="81"/>
      <c r="K31" s="81"/>
      <c r="L31" s="274"/>
      <c r="M31" s="274"/>
      <c r="N31" s="274"/>
      <c r="O31" s="274"/>
    </row>
  </sheetData>
  <sheetProtection password="8DA4" sheet="1" objects="1" scenarios="1" formatColumns="0" formatRows="0"/>
  <mergeCells count="49">
    <mergeCell ref="A2:O2"/>
    <mergeCell ref="A4:O4"/>
    <mergeCell ref="B6:O6"/>
    <mergeCell ref="A7:D7"/>
    <mergeCell ref="E7:F7"/>
    <mergeCell ref="G7:H7"/>
    <mergeCell ref="I7:M7"/>
    <mergeCell ref="A8:C8"/>
    <mergeCell ref="E8:O8"/>
    <mergeCell ref="A12:A13"/>
    <mergeCell ref="B12:C13"/>
    <mergeCell ref="D12:E13"/>
    <mergeCell ref="F12:F13"/>
    <mergeCell ref="G12:G13"/>
    <mergeCell ref="K12:K13"/>
    <mergeCell ref="A9:O9"/>
    <mergeCell ref="A10:N10"/>
    <mergeCell ref="H12:J12"/>
    <mergeCell ref="L12:M12"/>
    <mergeCell ref="N12:N13"/>
    <mergeCell ref="O12:O13"/>
    <mergeCell ref="B14:C14"/>
    <mergeCell ref="D14:E14"/>
    <mergeCell ref="B15:C15"/>
    <mergeCell ref="D15:E15"/>
    <mergeCell ref="B16:C16"/>
    <mergeCell ref="D16:E16"/>
    <mergeCell ref="B17:C17"/>
    <mergeCell ref="D17:E17"/>
    <mergeCell ref="B18:C18"/>
    <mergeCell ref="D18:E18"/>
    <mergeCell ref="B25:F25"/>
    <mergeCell ref="B20:O20"/>
    <mergeCell ref="B23:F23"/>
    <mergeCell ref="L21:O21"/>
    <mergeCell ref="L22:O22"/>
    <mergeCell ref="L23:O24"/>
    <mergeCell ref="D29:I29"/>
    <mergeCell ref="L28:O28"/>
    <mergeCell ref="L29:O29"/>
    <mergeCell ref="L30:O31"/>
    <mergeCell ref="L25:M25"/>
    <mergeCell ref="B30:D30"/>
    <mergeCell ref="E30:J30"/>
    <mergeCell ref="A26:E26"/>
    <mergeCell ref="B27:D27"/>
    <mergeCell ref="E27:F27"/>
    <mergeCell ref="B28:D28"/>
    <mergeCell ref="B29:C29"/>
  </mergeCells>
  <pageMargins left="0.45" right="0.2" top="0.25" bottom="0.25" header="0.3" footer="0.3"/>
  <pageSetup paperSize="9" orientation="landscape" r:id="rId1"/>
</worksheet>
</file>

<file path=xl/worksheets/sheet7.xml><?xml version="1.0" encoding="utf-8"?>
<worksheet xmlns="http://schemas.openxmlformats.org/spreadsheetml/2006/main" xmlns:r="http://schemas.openxmlformats.org/officeDocument/2006/relationships">
  <sheetPr>
    <tabColor rgb="FFFFFF00"/>
    <pageSetUpPr fitToPage="1"/>
  </sheetPr>
  <dimension ref="A1:BQ55"/>
  <sheetViews>
    <sheetView showGridLines="0" workbookViewId="0">
      <selection activeCell="O47" sqref="N47:O47"/>
    </sheetView>
  </sheetViews>
  <sheetFormatPr defaultColWidth="0" defaultRowHeight="15" zeroHeight="1"/>
  <cols>
    <col min="1" max="1" width="4.375" style="5" customWidth="1"/>
    <col min="2" max="2" width="5" style="5" customWidth="1"/>
    <col min="3" max="3" width="9.875" style="5" customWidth="1"/>
    <col min="4" max="6" width="7.125" style="5" customWidth="1"/>
    <col min="7" max="7" width="7.625" style="5" customWidth="1"/>
    <col min="8" max="10" width="7.125" style="5" customWidth="1"/>
    <col min="11" max="11" width="7.625" style="5" customWidth="1"/>
    <col min="12" max="14" width="7.125" style="5" customWidth="1"/>
    <col min="15" max="15" width="7" style="5" customWidth="1"/>
    <col min="16" max="18" width="6.625" style="5" customWidth="1"/>
    <col min="19" max="24" width="5.625" style="5" customWidth="1"/>
    <col min="25" max="26" width="8.625" style="5" customWidth="1"/>
    <col min="27" max="28" width="9" style="5" customWidth="1"/>
    <col min="29" max="49" width="9" style="5" hidden="1" customWidth="1"/>
    <col min="50" max="51" width="9" style="181" hidden="1" customWidth="1"/>
    <col min="52" max="54" width="9" style="122" hidden="1" customWidth="1"/>
    <col min="55" max="56" width="10.125" style="122" hidden="1" customWidth="1"/>
    <col min="57" max="69" width="9" style="122" hidden="1" customWidth="1"/>
    <col min="70" max="16384" width="9" style="5" hidden="1"/>
  </cols>
  <sheetData>
    <row r="1" spans="1:69" ht="9.75" customHeight="1">
      <c r="A1" s="116"/>
      <c r="B1" s="146"/>
      <c r="C1" s="147"/>
      <c r="D1" s="147"/>
      <c r="E1" s="147"/>
      <c r="F1" s="147"/>
      <c r="G1" s="147"/>
      <c r="H1" s="147"/>
      <c r="I1" s="147"/>
      <c r="J1" s="147"/>
      <c r="K1" s="147"/>
      <c r="L1" s="147"/>
      <c r="M1" s="147"/>
      <c r="N1" s="147"/>
      <c r="O1" s="147"/>
      <c r="P1" s="147"/>
      <c r="Q1" s="147"/>
      <c r="R1" s="147"/>
      <c r="S1" s="147"/>
      <c r="T1" s="147"/>
      <c r="U1" s="147"/>
      <c r="V1" s="148"/>
      <c r="W1" s="148"/>
      <c r="X1" s="148"/>
      <c r="Y1" s="148"/>
      <c r="Z1" s="148"/>
      <c r="AA1" s="149"/>
    </row>
    <row r="2" spans="1:69" ht="24" customHeight="1">
      <c r="A2" s="116"/>
      <c r="B2" s="150"/>
      <c r="C2" s="151"/>
      <c r="D2" s="151"/>
      <c r="E2" s="151"/>
      <c r="F2" s="151"/>
      <c r="G2" s="151"/>
      <c r="H2" s="310" t="s">
        <v>167</v>
      </c>
      <c r="I2" s="310"/>
      <c r="J2" s="310"/>
      <c r="K2" s="310"/>
      <c r="L2" s="310"/>
      <c r="M2" s="310"/>
      <c r="N2" s="310"/>
      <c r="O2" s="310"/>
      <c r="P2" s="310"/>
      <c r="Q2" s="310"/>
      <c r="R2" s="310"/>
      <c r="S2" s="310"/>
      <c r="T2" s="310"/>
      <c r="U2" s="310"/>
      <c r="V2" s="152"/>
      <c r="W2" s="152">
        <f>IF(Q4="","",IF(Q4=1,31,IF(Q4=2,29,IF(Q4=3,31,IF(Q4=4,30,IF(Q4=5,31,IF(Q4=6,30,IF(Q4=7,31,IF(Q4=8,31,IF(Q4=9,30,IF(Q4=10,31,IF(Q4=11,30,IF(Q4=12,31,0)))))))))))))</f>
        <v>31</v>
      </c>
      <c r="X2" s="152">
        <f>IFERROR(IF(P4="",0,P4-1),"")</f>
        <v>9</v>
      </c>
      <c r="Y2" s="152">
        <f>IFERROR(IF('DATA ENTRY'!H18="YES",'DATA ENTRY'!C23,'DATA ENTRY'!C14),"")</f>
        <v>59700</v>
      </c>
      <c r="Z2" s="152">
        <f>IFERROR(IF('DATA ENTRY'!H18="YES",'DATA ENTRY'!C25,'DATA ENTRY'!C16),"")</f>
        <v>61300</v>
      </c>
      <c r="AA2" s="153"/>
    </row>
    <row r="3" spans="1:69" ht="12" customHeight="1">
      <c r="A3" s="116"/>
      <c r="B3" s="150"/>
      <c r="C3" s="151"/>
      <c r="D3" s="151"/>
      <c r="E3" s="151"/>
      <c r="F3" s="151"/>
      <c r="G3" s="151"/>
      <c r="H3" s="154"/>
      <c r="I3" s="154"/>
      <c r="J3" s="154"/>
      <c r="K3" s="154"/>
      <c r="L3" s="154"/>
      <c r="M3" s="154"/>
      <c r="N3" s="154"/>
      <c r="O3" s="154"/>
      <c r="P3" s="155" t="s">
        <v>18</v>
      </c>
      <c r="Q3" s="155" t="s">
        <v>19</v>
      </c>
      <c r="R3" s="155" t="s">
        <v>20</v>
      </c>
      <c r="S3" s="154"/>
      <c r="T3" s="154"/>
      <c r="U3" s="154"/>
      <c r="V3" s="152"/>
      <c r="W3" s="152"/>
      <c r="X3" s="152">
        <f>IFERROR(SUM(W2-X2),"")</f>
        <v>22</v>
      </c>
      <c r="Y3" s="152"/>
      <c r="Z3" s="152"/>
      <c r="AA3" s="153"/>
    </row>
    <row r="4" spans="1:69" ht="21" customHeight="1">
      <c r="A4" s="116"/>
      <c r="B4" s="302" t="s">
        <v>204</v>
      </c>
      <c r="C4" s="303"/>
      <c r="D4" s="303"/>
      <c r="E4" s="303"/>
      <c r="F4" s="303"/>
      <c r="G4" s="303"/>
      <c r="H4" s="154"/>
      <c r="I4" s="288" t="s">
        <v>170</v>
      </c>
      <c r="J4" s="288"/>
      <c r="K4" s="288"/>
      <c r="L4" s="288"/>
      <c r="M4" s="288"/>
      <c r="N4" s="288"/>
      <c r="O4" s="289"/>
      <c r="P4" s="117">
        <v>10</v>
      </c>
      <c r="Q4" s="117">
        <v>5</v>
      </c>
      <c r="R4" s="118">
        <v>2023</v>
      </c>
      <c r="S4" s="154"/>
      <c r="T4" s="154"/>
      <c r="U4" s="154"/>
      <c r="V4" s="152"/>
      <c r="W4" s="152"/>
      <c r="X4" s="152"/>
      <c r="Y4" s="152"/>
      <c r="Z4" s="156">
        <f>MONTH(P6)</f>
        <v>5</v>
      </c>
      <c r="AA4" s="153"/>
    </row>
    <row r="5" spans="1:69" ht="7.5" customHeight="1">
      <c r="A5" s="116"/>
      <c r="B5" s="150"/>
      <c r="C5" s="151"/>
      <c r="D5" s="151"/>
      <c r="E5" s="151"/>
      <c r="F5" s="151"/>
      <c r="G5" s="151"/>
      <c r="H5" s="154"/>
      <c r="I5" s="154"/>
      <c r="J5" s="157"/>
      <c r="K5" s="157"/>
      <c r="L5" s="157"/>
      <c r="M5" s="157"/>
      <c r="N5" s="157"/>
      <c r="O5" s="157"/>
      <c r="P5" s="154"/>
      <c r="Q5" s="154"/>
      <c r="R5" s="154"/>
      <c r="S5" s="154"/>
      <c r="T5" s="154"/>
      <c r="U5" s="154"/>
      <c r="V5" s="151"/>
      <c r="W5" s="151"/>
      <c r="X5" s="151"/>
      <c r="Y5" s="151"/>
      <c r="Z5" s="151"/>
      <c r="AA5" s="158"/>
    </row>
    <row r="6" spans="1:69" ht="21" customHeight="1">
      <c r="A6" s="116"/>
      <c r="B6" s="304" t="s">
        <v>205</v>
      </c>
      <c r="C6" s="305"/>
      <c r="D6" s="305"/>
      <c r="E6" s="305"/>
      <c r="F6" s="305"/>
      <c r="G6" s="305"/>
      <c r="H6" s="151"/>
      <c r="I6" s="151"/>
      <c r="J6" s="311" t="s">
        <v>168</v>
      </c>
      <c r="K6" s="311"/>
      <c r="L6" s="311"/>
      <c r="M6" s="311"/>
      <c r="N6" s="311"/>
      <c r="O6" s="311"/>
      <c r="P6" s="312">
        <v>45047</v>
      </c>
      <c r="Q6" s="312"/>
      <c r="R6" s="312"/>
      <c r="S6" s="159" t="str">
        <f>IF(Z4=Q4,"þ","ý")</f>
        <v>þ</v>
      </c>
      <c r="T6" s="299" t="s">
        <v>195</v>
      </c>
      <c r="U6" s="299"/>
      <c r="V6" s="299"/>
      <c r="W6" s="299"/>
      <c r="X6" s="299"/>
      <c r="Y6" s="299"/>
      <c r="Z6" s="151"/>
      <c r="AA6" s="158"/>
      <c r="BC6" s="141">
        <f>DATE(R4,Q4,1)</f>
        <v>45047</v>
      </c>
      <c r="BD6" s="142">
        <f>P6</f>
        <v>45047</v>
      </c>
    </row>
    <row r="7" spans="1:69" ht="8.25" customHeight="1">
      <c r="A7" s="116"/>
      <c r="B7" s="150"/>
      <c r="C7" s="151"/>
      <c r="D7" s="151"/>
      <c r="E7" s="151"/>
      <c r="F7" s="151"/>
      <c r="G7" s="151"/>
      <c r="H7" s="151"/>
      <c r="I7" s="151"/>
      <c r="J7" s="157"/>
      <c r="K7" s="157"/>
      <c r="L7" s="157"/>
      <c r="M7" s="157"/>
      <c r="N7" s="157"/>
      <c r="O7" s="151"/>
      <c r="P7" s="151"/>
      <c r="Q7" s="151"/>
      <c r="R7" s="151"/>
      <c r="S7" s="151"/>
      <c r="T7" s="151"/>
      <c r="U7" s="151"/>
      <c r="V7" s="151"/>
      <c r="W7" s="151"/>
      <c r="X7" s="151"/>
      <c r="Y7" s="151"/>
      <c r="Z7" s="151"/>
      <c r="AA7" s="158"/>
    </row>
    <row r="8" spans="1:69" ht="21" customHeight="1">
      <c r="A8" s="116"/>
      <c r="B8" s="150"/>
      <c r="C8" s="151"/>
      <c r="D8" s="151"/>
      <c r="E8" s="151"/>
      <c r="F8" s="151"/>
      <c r="G8" s="151"/>
      <c r="H8" s="151"/>
      <c r="I8" s="151"/>
      <c r="J8" s="313" t="s">
        <v>169</v>
      </c>
      <c r="K8" s="313"/>
      <c r="L8" s="313"/>
      <c r="M8" s="313"/>
      <c r="N8" s="313"/>
      <c r="O8" s="313"/>
      <c r="P8" s="312">
        <v>45383</v>
      </c>
      <c r="Q8" s="312"/>
      <c r="R8" s="312"/>
      <c r="S8" s="151"/>
      <c r="T8" s="151"/>
      <c r="U8" s="151"/>
      <c r="V8" s="151"/>
      <c r="W8" s="151"/>
      <c r="X8" s="151"/>
      <c r="Y8" s="151"/>
      <c r="Z8" s="151"/>
      <c r="AA8" s="158"/>
    </row>
    <row r="9" spans="1:69" ht="8.25" customHeight="1">
      <c r="A9" s="116"/>
      <c r="B9" s="150"/>
      <c r="C9" s="151"/>
      <c r="D9" s="151"/>
      <c r="E9" s="151"/>
      <c r="F9" s="151"/>
      <c r="G9" s="151"/>
      <c r="H9" s="151"/>
      <c r="I9" s="151"/>
      <c r="J9" s="157"/>
      <c r="K9" s="157"/>
      <c r="L9" s="157"/>
      <c r="M9" s="157"/>
      <c r="N9" s="157"/>
      <c r="O9" s="151"/>
      <c r="P9" s="151"/>
      <c r="Q9" s="151"/>
      <c r="R9" s="151"/>
      <c r="S9" s="151"/>
      <c r="T9" s="151"/>
      <c r="U9" s="151"/>
      <c r="V9" s="151"/>
      <c r="W9" s="151"/>
      <c r="X9" s="151"/>
      <c r="Y9" s="151"/>
      <c r="Z9" s="151"/>
      <c r="AA9" s="158"/>
    </row>
    <row r="10" spans="1:69" ht="21" customHeight="1">
      <c r="A10" s="116"/>
      <c r="B10" s="150"/>
      <c r="C10" s="151"/>
      <c r="D10" s="151"/>
      <c r="E10" s="151"/>
      <c r="F10" s="151"/>
      <c r="G10" s="151"/>
      <c r="H10" s="151"/>
      <c r="I10" s="151"/>
      <c r="J10" s="293" t="s">
        <v>171</v>
      </c>
      <c r="K10" s="293"/>
      <c r="L10" s="293"/>
      <c r="M10" s="293"/>
      <c r="N10" s="293"/>
      <c r="O10" s="293"/>
      <c r="P10" s="294">
        <v>9</v>
      </c>
      <c r="Q10" s="294"/>
      <c r="R10" s="294"/>
      <c r="S10" s="151"/>
      <c r="T10" s="151"/>
      <c r="U10" s="298" t="s">
        <v>173</v>
      </c>
      <c r="V10" s="298"/>
      <c r="W10" s="298"/>
      <c r="X10" s="117">
        <v>10</v>
      </c>
      <c r="Y10" s="151"/>
      <c r="Z10" s="151"/>
      <c r="AA10" s="158"/>
    </row>
    <row r="11" spans="1:69" ht="10.5" customHeight="1">
      <c r="A11" s="116"/>
      <c r="B11" s="150"/>
      <c r="C11" s="151"/>
      <c r="D11" s="151"/>
      <c r="E11" s="151"/>
      <c r="F11" s="151"/>
      <c r="G11" s="151"/>
      <c r="H11" s="151"/>
      <c r="I11" s="151"/>
      <c r="J11" s="160"/>
      <c r="K11" s="160"/>
      <c r="L11" s="160"/>
      <c r="M11" s="160"/>
      <c r="N11" s="151"/>
      <c r="O11" s="151"/>
      <c r="P11" s="151"/>
      <c r="Q11" s="161">
        <f>COUNTA(P4,Q4,R4,P6,P8,P10)</f>
        <v>6</v>
      </c>
      <c r="R11" s="151"/>
      <c r="S11" s="151"/>
      <c r="T11" s="151"/>
      <c r="U11" s="151"/>
      <c r="V11" s="151"/>
      <c r="W11" s="151"/>
      <c r="X11" s="151"/>
      <c r="Y11" s="151"/>
      <c r="Z11" s="151"/>
      <c r="AA11" s="158"/>
    </row>
    <row r="12" spans="1:69" ht="18.75" customHeight="1" thickBot="1">
      <c r="A12" s="116"/>
      <c r="B12" s="162"/>
      <c r="C12" s="301" t="s">
        <v>194</v>
      </c>
      <c r="D12" s="301"/>
      <c r="E12" s="301"/>
      <c r="F12" s="301"/>
      <c r="G12" s="301"/>
      <c r="H12" s="301"/>
      <c r="I12" s="301"/>
      <c r="J12" s="301"/>
      <c r="K12" s="163"/>
      <c r="L12" s="163"/>
      <c r="M12" s="163"/>
      <c r="N12" s="163"/>
      <c r="O12" s="300" t="str">
        <f>IF(Q11&gt;5,"Complete Entry","Insufficient Data")</f>
        <v>Complete Entry</v>
      </c>
      <c r="P12" s="300"/>
      <c r="Q12" s="300"/>
      <c r="R12" s="300"/>
      <c r="S12" s="300"/>
      <c r="T12" s="164"/>
      <c r="U12" s="163"/>
      <c r="V12" s="163"/>
      <c r="W12" s="163"/>
      <c r="X12" s="163"/>
      <c r="Y12" s="163"/>
      <c r="Z12" s="163"/>
      <c r="AA12" s="165"/>
      <c r="BH12" s="122">
        <f>IF(OR(BF14=BB14,BF14=BB15,BF14=BB16),42,46)</f>
        <v>42</v>
      </c>
    </row>
    <row r="13" spans="1:69" ht="9.75" customHeight="1">
      <c r="C13" s="78"/>
      <c r="D13" s="78"/>
      <c r="E13" s="78"/>
      <c r="F13" s="78"/>
      <c r="G13" s="78"/>
      <c r="H13" s="78"/>
      <c r="I13" s="78"/>
      <c r="J13" s="78"/>
      <c r="K13" s="78"/>
      <c r="L13" s="78"/>
      <c r="M13" s="78"/>
      <c r="N13" s="78"/>
      <c r="O13" s="78"/>
      <c r="P13" s="78"/>
      <c r="Q13" s="78"/>
      <c r="R13" s="78"/>
      <c r="S13" s="78"/>
      <c r="T13" s="78"/>
      <c r="U13" s="78"/>
      <c r="V13" s="78"/>
      <c r="W13" s="78"/>
      <c r="X13" s="78"/>
      <c r="Y13" s="78"/>
      <c r="Z13" s="78"/>
    </row>
    <row r="14" spans="1:69" ht="25.5">
      <c r="C14" s="322" t="str">
        <f>CONCATENATE("Office , ",IF('Master Sheet'!D7="","",'Master Sheet'!D7))</f>
        <v>Office , Mahatma Gandhi Government School (English Medium) Bar, (Beawar)</v>
      </c>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BA14" s="122">
        <f>IF(OR(BF14=$BB$14,BF14=$BB$15,BF14=$BB$16),42,IF(OR(BF14=$BB$17,BF14=$BB$18,BF14=$BB$19,BF14=$BB$20,BF14=$BB$21,BF14=$BB$22),46,50))</f>
        <v>42</v>
      </c>
      <c r="BB14" s="143">
        <v>45017</v>
      </c>
      <c r="BC14" s="142">
        <f>P6</f>
        <v>45047</v>
      </c>
      <c r="BD14" s="144">
        <f>IF(AND(BC14=""),"",IF(AND(BC14=$BB$25),$BB$25,IF(AND(BC14=$BB$26),$BB$26,IF(AND(BC14=$BB$14),$BB$14,IF(AND(BC14=$BB$15),$BB$15,IF(AND(BC14=$BB$16),$BB$16,IF(AND(BC14=$BB$17),$BB$17,IF(AND(BC14=$BB$18),$BB$18,IF(AND(BC14=$BB$19),$BB$19,IF(AND(BC14=$BB$20),$BB$20,IF(AND(BC14=$BB$21),$BB$21,IF(AND(BC14=$BB$22),$BB$22,IF(AND(BC14=$BB$23),$BB$23,IF(AND(BC14=$BB$24),$BB$24,IF(AND(BC14=$BB$27),$BB$27,IF(AND(BC14=$BB$28),$BB$28,IF(AND(BC14=$BB$29),$BB$29,"")))))))))))))))))</f>
        <v>45047</v>
      </c>
      <c r="BE14" s="144">
        <f>IFERROR(IF(OR(BC14="",BD14=""),"",IF($BC$6=$BD$6,IF(BC14="",BD14,BC14),"")),"")</f>
        <v>45047</v>
      </c>
      <c r="BF14" s="144">
        <f>IF(BE14&gt;$P$8,"",BE14)</f>
        <v>45047</v>
      </c>
      <c r="BG14" s="122">
        <f>IF(C22="","",ROUND(($Z$2/$W$2)*$X$3,0))</f>
        <v>43503</v>
      </c>
      <c r="BH14" s="122">
        <f>IF(BG14="","",IF(C22="","",ROUND(BG14*BA14%,0)))</f>
        <v>18271</v>
      </c>
      <c r="BI14" s="122">
        <f>IF(BG14="","",IF(C22="","",ROUND(BG14*$P$10%,0)))</f>
        <v>3915</v>
      </c>
      <c r="BJ14" s="122">
        <f>IF(C22="","",ROUND(($Y$2/$W$2)*$X$3,0))</f>
        <v>42368</v>
      </c>
      <c r="BK14" s="122">
        <f>IF(BJ14="","",IF(C22="","",ROUND(BJ14*BA14%,0)))</f>
        <v>17795</v>
      </c>
      <c r="BL14" s="122">
        <f>IF(BJ14="","",IF(C22="","",ROUND(BJ14*$P$10%,0)))</f>
        <v>3813</v>
      </c>
      <c r="BM14" s="122" t="str">
        <f>IFERROR(IF(BG14="","",IF(OR(BF14=$BB$17,BF14=$BB$18,BF14=$BB$19,BF14=$BB$20,BF14=$BB$23,BF14=$BB$24),ROUND(BG14*4%,0),"")),"")</f>
        <v/>
      </c>
      <c r="BN14" s="122" t="str">
        <f>IFERROR(IF(BJ14="","",IF(OR(BF14=$BB$17,BF14=$BB$18,BF14=$BB$19,BF14=$BB$20,BF14=$BB$23,BF14=$BB$24),ROUND(BJ14*4%,0),"")),"")</f>
        <v/>
      </c>
    </row>
    <row r="15" spans="1:69" ht="23.25">
      <c r="C15" s="112"/>
      <c r="D15" s="112"/>
      <c r="E15" s="112"/>
      <c r="F15" s="112"/>
      <c r="G15" s="112"/>
      <c r="H15" s="112"/>
      <c r="I15" s="112"/>
      <c r="J15" s="296" t="s">
        <v>164</v>
      </c>
      <c r="K15" s="296"/>
      <c r="L15" s="296"/>
      <c r="M15" s="297">
        <f>P6</f>
        <v>45047</v>
      </c>
      <c r="N15" s="297"/>
      <c r="O15" s="297"/>
      <c r="P15" s="123" t="s">
        <v>163</v>
      </c>
      <c r="Q15" s="295">
        <f>P8</f>
        <v>45383</v>
      </c>
      <c r="R15" s="295"/>
      <c r="S15" s="295"/>
      <c r="T15" s="112"/>
      <c r="U15" s="112"/>
      <c r="V15" s="112"/>
      <c r="W15" s="112"/>
      <c r="X15" s="112"/>
      <c r="Y15" s="112"/>
      <c r="Z15" s="112"/>
      <c r="BA15" s="122">
        <f t="shared" ref="BA15:BA29" si="0">IF(OR(BF15=$BB$14,BF15=$BB$15,BF15=$BB$16),42,IF(OR(BF15=$BB$17,BF15=$BB$18,BF15=$BB$19,BF15=$BB$20,BF15=$BB$21,BF15=$BB$22),46,50))</f>
        <v>42</v>
      </c>
      <c r="BB15" s="143">
        <v>45047</v>
      </c>
      <c r="BC15" s="142">
        <f>IF(AND(BB15&gt;$P$8),"",DATE($R$4,($Q$4+1),1))</f>
        <v>45078</v>
      </c>
      <c r="BD15" s="144">
        <f t="shared" ref="BD15:BD29" si="1">IF(AND(BC15=""),"",IF(AND(BC15=$BB$25),$BB$25,IF(AND(BC15=$BB$26),$BB$26,IF(AND(BC15=$BB$14),$BB$14,IF(AND(BC15=$BB$15),$BB$15,IF(AND(BC15=$BB$16),$BB$16,IF(AND(BC15=$BB$17),$BB$17,IF(AND(BC15=$BB$18),$BB$18,IF(AND(BC15=$BB$19),$BB$19,IF(AND(BC15=$BB$20),$BB$20,IF(AND(BC15=$BB$21),$BB$21,IF(AND(BC15=$BB$22),$BB$22,IF(AND(BC15=$BB$23),$BB$23,IF(AND(BC15=$BB$24),$BB$24,IF(AND(BC15=$BB$27),$BB$27,IF(AND(BC15=$BB$28),$BB$28,IF(AND(BC15=$BB$29),$BB$29,"")))))))))))))))))</f>
        <v>45078</v>
      </c>
      <c r="BE15" s="144">
        <f t="shared" ref="BE15:BE25" si="2">IFERROR(IF(OR(BC15="",BD15=""),"",IF($BC$6=$BD$6,IF(BC15="",BD15,BC15),"")),"")</f>
        <v>45078</v>
      </c>
      <c r="BF15" s="144">
        <f t="shared" ref="BF15:BF29" si="3">IF(BE15&gt;$P$8,"",BE15)</f>
        <v>45078</v>
      </c>
      <c r="BG15" s="122">
        <f>IFERROR(IF(BF15="","",IF(OR(BF15=$BB$17,BF15=$BB$29),MROUND($Z$2*1.03,100),$Z$2)),"")</f>
        <v>61300</v>
      </c>
      <c r="BH15" s="122">
        <f t="shared" ref="BH15" si="4">IF(BG15="","",IF(C23="","",ROUND(BG15*BA15%,0)))</f>
        <v>25746</v>
      </c>
      <c r="BI15" s="122">
        <f t="shared" ref="BI15" si="5">IF(BG15="","",IF(C23="","",ROUND(BG15*$P$10%,0)))</f>
        <v>5517</v>
      </c>
      <c r="BJ15" s="122">
        <f>IFERROR(IF(BF15="","",IF(OR(BF15=$BB$17,BF15=$BB$29),MROUND($Y$2*1.03,100),$Y$2)),"")</f>
        <v>59700</v>
      </c>
      <c r="BK15" s="122">
        <f t="shared" ref="BK15" si="6">IF(BJ15="","",IF(C23="","",ROUND(BJ15*BA15%,0)))</f>
        <v>25074</v>
      </c>
      <c r="BL15" s="122">
        <f t="shared" ref="BL15" si="7">IF(BJ15="","",IF(C23="","",ROUND(BJ15*$P$10%,0)))</f>
        <v>5373</v>
      </c>
      <c r="BM15" s="122" t="str">
        <f t="shared" ref="BM15:BM24" si="8">IFERROR(IF(BG15="","",IF(OR(BF15=$BB$17,BF15=$BB$18,BF15=$BB$19,BF15=$BB$20,BF15=$BB$23,BF15=$BB$24),ROUND(BG15*4%,0),"")),"")</f>
        <v/>
      </c>
      <c r="BN15" s="122" t="str">
        <f t="shared" ref="BN15:BN24" si="9">IFERROR(IF(BJ15="","",IF(OR(BF15=$BB$17,BF15=$BB$18,BF15=$BB$19,BF15=$BB$20,BF15=$BB$23,BF15=$BB$24),ROUND(BJ15*4%,0),"")),"")</f>
        <v/>
      </c>
    </row>
    <row r="16" spans="1:69" s="50" customFormat="1" ht="18.75">
      <c r="C16" s="291" t="s">
        <v>161</v>
      </c>
      <c r="D16" s="291"/>
      <c r="E16" s="291"/>
      <c r="F16" s="323" t="str">
        <f>IF('Master Sheet'!D11="","",UPPER('Master Sheet'!D11))</f>
        <v>HEERALAL JAT</v>
      </c>
      <c r="G16" s="323"/>
      <c r="H16" s="323"/>
      <c r="I16" s="323"/>
      <c r="J16" s="323"/>
      <c r="K16" s="291" t="s">
        <v>160</v>
      </c>
      <c r="L16" s="291"/>
      <c r="M16" s="314" t="str">
        <f>IF('Master Sheet'!N11="","",'Master Sheet'!N11)</f>
        <v>Sr. Teacher</v>
      </c>
      <c r="N16" s="314"/>
      <c r="O16" s="314"/>
      <c r="P16" s="291" t="s">
        <v>162</v>
      </c>
      <c r="Q16" s="291"/>
      <c r="R16" s="291"/>
      <c r="S16" s="292" t="str">
        <f>'Master Sheet'!D7</f>
        <v>Mahatma Gandhi Government School (English Medium) Bar, (Beawar)</v>
      </c>
      <c r="T16" s="292"/>
      <c r="U16" s="292"/>
      <c r="V16" s="292"/>
      <c r="W16" s="292"/>
      <c r="X16" s="292"/>
      <c r="Y16" s="292"/>
      <c r="Z16" s="292"/>
      <c r="AX16" s="182"/>
      <c r="AY16" s="182"/>
      <c r="AZ16" s="145"/>
      <c r="BA16" s="122">
        <f t="shared" si="0"/>
        <v>46</v>
      </c>
      <c r="BB16" s="143">
        <v>45078</v>
      </c>
      <c r="BC16" s="142">
        <f>IF(AND(BB16&gt;$P$8),"",DATE($R$4,($Q$4+2),1))</f>
        <v>45108</v>
      </c>
      <c r="BD16" s="144">
        <f t="shared" si="1"/>
        <v>45108</v>
      </c>
      <c r="BE16" s="144">
        <f t="shared" si="2"/>
        <v>45108</v>
      </c>
      <c r="BF16" s="144">
        <f t="shared" si="3"/>
        <v>45108</v>
      </c>
      <c r="BG16" s="122">
        <f>IFERROR(IF(BF16="","",IF(OR(BF16=$BB$17,BF16=$BB$29),MROUND(BG15*1.03,100),BG15)),"")</f>
        <v>63100</v>
      </c>
      <c r="BH16" s="122">
        <f t="shared" ref="BH16:BH21" si="10">IF(BG16="","",IF(C24="","",ROUND(BG16*BA16%,0)))</f>
        <v>29026</v>
      </c>
      <c r="BI16" s="122">
        <f t="shared" ref="BI16:BI22" si="11">IF(BG16="","",IF(C24="","",ROUND(BG16*$P$10%,0)))</f>
        <v>5679</v>
      </c>
      <c r="BJ16" s="122">
        <f>IFERROR(IF(BF16="","",IF(OR(BF16=$BB$17,BF16=$BB$29),MROUND(BJ15*1.03,100),BJ15)),"")</f>
        <v>61500</v>
      </c>
      <c r="BK16" s="122">
        <f t="shared" ref="BK16:BK24" si="12">IF(BJ16="","",IF(C24="","",ROUND(BJ16*BA16%,0)))</f>
        <v>28290</v>
      </c>
      <c r="BL16" s="122">
        <f t="shared" ref="BL16:BL24" si="13">IF(BJ16="","",IF(C24="","",ROUND(BJ16*$P$10%,0)))</f>
        <v>5535</v>
      </c>
      <c r="BM16" s="122">
        <f>IFERROR(IF(BG16="","",IF(OR(BF16=$BB$17,BF16=$BB$18,BF16=$BB$19,BF16=$BB$20,BF16=$BB$23,BF16=$BB$24),ROUND(BG16*4%,0),"")),"")</f>
        <v>2524</v>
      </c>
      <c r="BN16" s="122">
        <f t="shared" si="9"/>
        <v>2460</v>
      </c>
      <c r="BO16" s="145"/>
      <c r="BP16" s="145"/>
      <c r="BQ16" s="145"/>
    </row>
    <row r="17" spans="1:69" s="50" customFormat="1" ht="18.75">
      <c r="C17" s="119" t="str">
        <f>IFERROR(IF(AND(AT12="",AV12=""),"",IF(AV12&gt;$AS$6,"",AV12)),"")</f>
        <v/>
      </c>
      <c r="D17" s="119"/>
      <c r="E17" s="119"/>
      <c r="F17" s="120"/>
      <c r="G17" s="120"/>
      <c r="H17" s="120"/>
      <c r="I17" s="120"/>
      <c r="J17" s="120"/>
      <c r="K17" s="290" t="s">
        <v>165</v>
      </c>
      <c r="L17" s="290"/>
      <c r="M17" s="290"/>
      <c r="N17" s="290"/>
      <c r="O17" s="290"/>
      <c r="P17" s="290"/>
      <c r="Q17" s="290"/>
      <c r="R17" s="290"/>
      <c r="S17" s="121"/>
      <c r="T17" s="121"/>
      <c r="U17" s="121"/>
      <c r="V17" s="121"/>
      <c r="W17" s="121"/>
      <c r="X17" s="121"/>
      <c r="Y17" s="121"/>
      <c r="Z17" s="121"/>
      <c r="AX17" s="182"/>
      <c r="AY17" s="182"/>
      <c r="AZ17" s="145"/>
      <c r="BA17" s="122">
        <f t="shared" si="0"/>
        <v>46</v>
      </c>
      <c r="BB17" s="143">
        <v>45108</v>
      </c>
      <c r="BC17" s="142">
        <f>IF(AND(BB17&gt;$P$8),"",DATE($R$4,($Q$4+3),1))</f>
        <v>45139</v>
      </c>
      <c r="BD17" s="144">
        <f t="shared" si="1"/>
        <v>45139</v>
      </c>
      <c r="BE17" s="144">
        <f t="shared" si="2"/>
        <v>45139</v>
      </c>
      <c r="BF17" s="144">
        <f t="shared" si="3"/>
        <v>45139</v>
      </c>
      <c r="BG17" s="122">
        <f t="shared" ref="BG17:BG29" si="14">IFERROR(IF(BF17="","",IF(OR(BF17=$BB$17,BF17=$BB$29),MROUND(BG16*1.03,100),BG16)),"")</f>
        <v>63100</v>
      </c>
      <c r="BH17" s="122">
        <f t="shared" si="10"/>
        <v>29026</v>
      </c>
      <c r="BI17" s="122">
        <f t="shared" si="11"/>
        <v>5679</v>
      </c>
      <c r="BJ17" s="122">
        <f t="shared" ref="BJ17:BJ29" si="15">IFERROR(IF(BF17="","",IF(OR(BF17=$BB$17,BF17=$BB$29),MROUND(BJ16*1.03,100),BJ16)),"")</f>
        <v>61500</v>
      </c>
      <c r="BK17" s="122">
        <f t="shared" si="12"/>
        <v>28290</v>
      </c>
      <c r="BL17" s="122">
        <f t="shared" si="13"/>
        <v>5535</v>
      </c>
      <c r="BM17" s="122">
        <f t="shared" si="8"/>
        <v>2524</v>
      </c>
      <c r="BN17" s="122">
        <f t="shared" si="9"/>
        <v>2460</v>
      </c>
      <c r="BO17" s="145"/>
      <c r="BP17" s="145"/>
      <c r="BQ17" s="145"/>
    </row>
    <row r="18" spans="1:69" ht="7.5" customHeight="1">
      <c r="C18" s="78"/>
      <c r="D18" s="78"/>
      <c r="E18" s="78"/>
      <c r="F18" s="78"/>
      <c r="G18" s="78"/>
      <c r="H18" s="78"/>
      <c r="I18" s="78"/>
      <c r="J18" s="78"/>
      <c r="K18" s="78"/>
      <c r="L18" s="78"/>
      <c r="M18" s="78"/>
      <c r="N18" s="78"/>
      <c r="O18" s="78"/>
      <c r="P18" s="78"/>
      <c r="Q18" s="78"/>
      <c r="R18" s="78"/>
      <c r="S18" s="78"/>
      <c r="T18" s="78"/>
      <c r="U18" s="78"/>
      <c r="V18" s="78"/>
      <c r="W18" s="78"/>
      <c r="X18" s="78"/>
      <c r="Y18" s="78"/>
      <c r="Z18" s="78"/>
      <c r="BA18" s="122">
        <f t="shared" si="0"/>
        <v>46</v>
      </c>
      <c r="BB18" s="143">
        <v>45139</v>
      </c>
      <c r="BC18" s="142">
        <f>IF(AND(BB18&gt;$P$8),"",DATE($R$4,($Q$4+4),1))</f>
        <v>45170</v>
      </c>
      <c r="BD18" s="144">
        <f t="shared" si="1"/>
        <v>45170</v>
      </c>
      <c r="BE18" s="144">
        <f t="shared" si="2"/>
        <v>45170</v>
      </c>
      <c r="BF18" s="144">
        <f t="shared" si="3"/>
        <v>45170</v>
      </c>
      <c r="BG18" s="122">
        <f t="shared" si="14"/>
        <v>63100</v>
      </c>
      <c r="BH18" s="122">
        <f t="shared" si="10"/>
        <v>29026</v>
      </c>
      <c r="BI18" s="122">
        <f t="shared" si="11"/>
        <v>5679</v>
      </c>
      <c r="BJ18" s="122">
        <f t="shared" si="15"/>
        <v>61500</v>
      </c>
      <c r="BK18" s="122">
        <f t="shared" si="12"/>
        <v>28290</v>
      </c>
      <c r="BL18" s="122">
        <f t="shared" si="13"/>
        <v>5535</v>
      </c>
      <c r="BM18" s="122">
        <f t="shared" si="8"/>
        <v>2524</v>
      </c>
      <c r="BN18" s="122">
        <f t="shared" si="9"/>
        <v>2460</v>
      </c>
    </row>
    <row r="19" spans="1:69" ht="18" customHeight="1">
      <c r="B19" s="306" t="s">
        <v>166</v>
      </c>
      <c r="C19" s="329" t="s">
        <v>188</v>
      </c>
      <c r="D19" s="318" t="s">
        <v>185</v>
      </c>
      <c r="E19" s="318"/>
      <c r="F19" s="318"/>
      <c r="G19" s="318"/>
      <c r="H19" s="318" t="s">
        <v>186</v>
      </c>
      <c r="I19" s="318"/>
      <c r="J19" s="318"/>
      <c r="K19" s="318"/>
      <c r="L19" s="318" t="s">
        <v>187</v>
      </c>
      <c r="M19" s="318"/>
      <c r="N19" s="318"/>
      <c r="O19" s="318"/>
      <c r="P19" s="319" t="s">
        <v>192</v>
      </c>
      <c r="Q19" s="320"/>
      <c r="R19" s="320"/>
      <c r="S19" s="320"/>
      <c r="T19" s="320"/>
      <c r="U19" s="320"/>
      <c r="V19" s="320"/>
      <c r="W19" s="320"/>
      <c r="X19" s="321"/>
      <c r="Y19" s="332" t="s">
        <v>152</v>
      </c>
      <c r="Z19" s="324" t="s">
        <v>153</v>
      </c>
      <c r="BA19" s="122">
        <f t="shared" si="0"/>
        <v>46</v>
      </c>
      <c r="BB19" s="143">
        <v>45170</v>
      </c>
      <c r="BC19" s="142">
        <f>IF(AND(BB19&gt;$P$8),"",DATE($R$4,($Q$4+5),1))</f>
        <v>45200</v>
      </c>
      <c r="BD19" s="144">
        <f t="shared" si="1"/>
        <v>45200</v>
      </c>
      <c r="BE19" s="144">
        <f t="shared" si="2"/>
        <v>45200</v>
      </c>
      <c r="BF19" s="144">
        <f t="shared" si="3"/>
        <v>45200</v>
      </c>
      <c r="BG19" s="122">
        <f t="shared" si="14"/>
        <v>63100</v>
      </c>
      <c r="BH19" s="122">
        <f t="shared" si="10"/>
        <v>29026</v>
      </c>
      <c r="BI19" s="122">
        <f t="shared" si="11"/>
        <v>5679</v>
      </c>
      <c r="BJ19" s="122">
        <f t="shared" si="15"/>
        <v>61500</v>
      </c>
      <c r="BK19" s="122">
        <f t="shared" si="12"/>
        <v>28290</v>
      </c>
      <c r="BL19" s="122">
        <f t="shared" si="13"/>
        <v>5535</v>
      </c>
      <c r="BM19" s="122">
        <f t="shared" si="8"/>
        <v>2524</v>
      </c>
      <c r="BN19" s="122">
        <f t="shared" si="9"/>
        <v>2460</v>
      </c>
    </row>
    <row r="20" spans="1:69">
      <c r="B20" s="307"/>
      <c r="C20" s="330"/>
      <c r="D20" s="327" t="s">
        <v>154</v>
      </c>
      <c r="E20" s="327" t="s">
        <v>155</v>
      </c>
      <c r="F20" s="324" t="s">
        <v>156</v>
      </c>
      <c r="G20" s="327" t="s">
        <v>157</v>
      </c>
      <c r="H20" s="327" t="s">
        <v>154</v>
      </c>
      <c r="I20" s="327" t="s">
        <v>155</v>
      </c>
      <c r="J20" s="324" t="s">
        <v>156</v>
      </c>
      <c r="K20" s="327" t="s">
        <v>157</v>
      </c>
      <c r="L20" s="327" t="s">
        <v>154</v>
      </c>
      <c r="M20" s="327" t="s">
        <v>155</v>
      </c>
      <c r="N20" s="324" t="s">
        <v>156</v>
      </c>
      <c r="O20" s="327" t="s">
        <v>157</v>
      </c>
      <c r="P20" s="315" t="s">
        <v>172</v>
      </c>
      <c r="Q20" s="316"/>
      <c r="R20" s="317"/>
      <c r="S20" s="315" t="s">
        <v>158</v>
      </c>
      <c r="T20" s="316"/>
      <c r="U20" s="317"/>
      <c r="V20" s="315" t="s">
        <v>159</v>
      </c>
      <c r="W20" s="316"/>
      <c r="X20" s="317"/>
      <c r="Y20" s="333"/>
      <c r="Z20" s="325"/>
      <c r="BA20" s="122">
        <f t="shared" si="0"/>
        <v>46</v>
      </c>
      <c r="BB20" s="143">
        <v>45200</v>
      </c>
      <c r="BC20" s="142">
        <f>IF(AND(BB20&gt;$P$8),"",DATE($R$4,($Q$4+6),1))</f>
        <v>45231</v>
      </c>
      <c r="BD20" s="144">
        <f t="shared" si="1"/>
        <v>45231</v>
      </c>
      <c r="BE20" s="144">
        <f t="shared" si="2"/>
        <v>45231</v>
      </c>
      <c r="BF20" s="144">
        <f t="shared" si="3"/>
        <v>45231</v>
      </c>
      <c r="BG20" s="122">
        <f t="shared" si="14"/>
        <v>63100</v>
      </c>
      <c r="BH20" s="122">
        <f t="shared" si="10"/>
        <v>29026</v>
      </c>
      <c r="BI20" s="122">
        <f t="shared" si="11"/>
        <v>5679</v>
      </c>
      <c r="BJ20" s="122">
        <f t="shared" si="15"/>
        <v>61500</v>
      </c>
      <c r="BK20" s="122">
        <f t="shared" si="12"/>
        <v>28290</v>
      </c>
      <c r="BL20" s="122">
        <f t="shared" si="13"/>
        <v>5535</v>
      </c>
      <c r="BM20" s="122" t="str">
        <f t="shared" si="8"/>
        <v/>
      </c>
      <c r="BN20" s="122" t="str">
        <f t="shared" si="9"/>
        <v/>
      </c>
    </row>
    <row r="21" spans="1:69">
      <c r="B21" s="308"/>
      <c r="C21" s="331"/>
      <c r="D21" s="328"/>
      <c r="E21" s="328"/>
      <c r="F21" s="326"/>
      <c r="G21" s="328"/>
      <c r="H21" s="328"/>
      <c r="I21" s="328"/>
      <c r="J21" s="326"/>
      <c r="K21" s="328"/>
      <c r="L21" s="328"/>
      <c r="M21" s="328"/>
      <c r="N21" s="326"/>
      <c r="O21" s="328"/>
      <c r="P21" s="128" t="s">
        <v>190</v>
      </c>
      <c r="Q21" s="128" t="s">
        <v>189</v>
      </c>
      <c r="R21" s="128" t="s">
        <v>191</v>
      </c>
      <c r="S21" s="128" t="s">
        <v>190</v>
      </c>
      <c r="T21" s="128" t="s">
        <v>189</v>
      </c>
      <c r="U21" s="128" t="s">
        <v>191</v>
      </c>
      <c r="V21" s="128" t="s">
        <v>190</v>
      </c>
      <c r="W21" s="128" t="s">
        <v>189</v>
      </c>
      <c r="X21" s="128" t="s">
        <v>191</v>
      </c>
      <c r="Y21" s="334"/>
      <c r="Z21" s="326"/>
      <c r="BA21" s="122">
        <f t="shared" si="0"/>
        <v>46</v>
      </c>
      <c r="BB21" s="143">
        <v>45231</v>
      </c>
      <c r="BC21" s="142">
        <f>IF(AND(BB21&gt;$P$8),"",DATE($R$4,($Q$4+7),1))</f>
        <v>45261</v>
      </c>
      <c r="BD21" s="144">
        <f t="shared" si="1"/>
        <v>45261</v>
      </c>
      <c r="BE21" s="144">
        <f t="shared" si="2"/>
        <v>45261</v>
      </c>
      <c r="BF21" s="144">
        <f t="shared" si="3"/>
        <v>45261</v>
      </c>
      <c r="BG21" s="122">
        <f t="shared" si="14"/>
        <v>63100</v>
      </c>
      <c r="BH21" s="122">
        <f t="shared" si="10"/>
        <v>29026</v>
      </c>
      <c r="BI21" s="122">
        <f t="shared" si="11"/>
        <v>5679</v>
      </c>
      <c r="BJ21" s="122">
        <f t="shared" si="15"/>
        <v>61500</v>
      </c>
      <c r="BK21" s="122">
        <f t="shared" si="12"/>
        <v>28290</v>
      </c>
      <c r="BL21" s="122">
        <f t="shared" si="13"/>
        <v>5535</v>
      </c>
      <c r="BM21" s="122" t="str">
        <f t="shared" si="8"/>
        <v/>
      </c>
      <c r="BN21" s="122" t="str">
        <f t="shared" si="9"/>
        <v/>
      </c>
    </row>
    <row r="22" spans="1:69" ht="17.45" customHeight="1">
      <c r="A22" s="122">
        <f>IF(LEN(C22)&gt;=2,1,0)</f>
        <v>1</v>
      </c>
      <c r="B22" s="111">
        <f>IFERROR(IF(A22="","",IF(A22=0,"",A22)),"")</f>
        <v>1</v>
      </c>
      <c r="C22" s="113">
        <f>IFERROR(IF(OR($P$6="",$P$8="",$P$4="",$Q$4="",$R$4=""),"",IF(AND($P$6&gt;$P$8),"",BF14)),"")</f>
        <v>45047</v>
      </c>
      <c r="D22" s="111">
        <f>IFERROR(IF(C22="","",BG14),"")</f>
        <v>43503</v>
      </c>
      <c r="E22" s="111">
        <f>IFERROR(IF(D22="","",IF(C22="","",BH14)),"")</f>
        <v>18271</v>
      </c>
      <c r="F22" s="111">
        <f>IFERROR(IF(D22="","",IF(C22="","",BI14)),"")</f>
        <v>3915</v>
      </c>
      <c r="G22" s="110">
        <f>IFERROR(IF(C22="","",IF(D22="","",SUM(D22:F22))),"")</f>
        <v>65689</v>
      </c>
      <c r="H22" s="111">
        <f>IFERROR(IF(C22="","",BJ14),"")</f>
        <v>42368</v>
      </c>
      <c r="I22" s="111">
        <f>IFERROR(IF(H22="","",IF(C22="","",BK14)),"")</f>
        <v>17795</v>
      </c>
      <c r="J22" s="111">
        <f>IFERROR(IF(H22="","",IF(C22="","",BL14)),"")</f>
        <v>3813</v>
      </c>
      <c r="K22" s="110">
        <f>IFERROR(IF(C22="","",IF(H22="","",SUM(H22:J22))),"")</f>
        <v>63976</v>
      </c>
      <c r="L22" s="111">
        <f>IFERROR(IF(C22="","",IF(OR(D22="",H22=""),"",SUM(D22-H22))),"")</f>
        <v>1135</v>
      </c>
      <c r="M22" s="111">
        <f>IFERROR(IF(C22="","",IF(OR(E22="",I22=""),"",SUM(E22-I22))),"")</f>
        <v>476</v>
      </c>
      <c r="N22" s="111">
        <f>IFERROR(IF(C22="","",IF(OR(F22="",J22=""),"",SUM(F22-J22))),"")</f>
        <v>102</v>
      </c>
      <c r="O22" s="125">
        <f>IFERROR(IF(C22="","",IF(OR(G22="",K22=""),"",SUM(G22-K22))),"")</f>
        <v>1713</v>
      </c>
      <c r="P22" s="111" t="str">
        <f>IFERROR(IF(D22="","",IF(C22="","",BM14)),"")</f>
        <v/>
      </c>
      <c r="Q22" s="111" t="str">
        <f>IFERROR(IF(H22="","",IF(C22="","",BN14)),"")</f>
        <v/>
      </c>
      <c r="R22" s="110" t="str">
        <f>IFERROR(IF(C22="","",IF(AND(P22="",Q22=""),"",SUM(P22-Q22))),"")</f>
        <v/>
      </c>
      <c r="S22" s="114">
        <f>IFERROR(IF(C22="","",IF($Z$2="","",IF($Z$2&lt;18001,265,IF($Z$2&lt;33501,440,IF($Z$2&lt;54001,658,875))))),"")</f>
        <v>875</v>
      </c>
      <c r="T22" s="114">
        <f>IFERROR(IF(C22="","",IF($Z$2="","",IF($Z$2&lt;18001,265,IF($Z$2&lt;33501,440,IF($Z$2&lt;54001,658,875))))),"")</f>
        <v>875</v>
      </c>
      <c r="U22" s="110">
        <f>IFERROR(IF(C22="","",IF(AND(S22="",T22=""),"",SUM(S22-T22))),"")</f>
        <v>0</v>
      </c>
      <c r="V22" s="111">
        <f>IFERROR(IF($X$10="","",IF(C22="","",IF(O22="","",ROUND(O22*$X$10%,0)))),"")</f>
        <v>171</v>
      </c>
      <c r="W22" s="115"/>
      <c r="X22" s="110">
        <f>IFERROR(IF(C22="","",IF(AND(V22="",W22=""),"",SUM(V22-W22))),"")</f>
        <v>171</v>
      </c>
      <c r="Y22" s="126">
        <f>IFERROR(IF(C22="","",IF(AND(R22="",U22="",X22=""),"",SUM(R22,U22,X22))),"")</f>
        <v>171</v>
      </c>
      <c r="Z22" s="127">
        <f>IFERROR(IF(C22="","",IF(AND(O22="",Y22=""),"",SUM(O22-Y22))),"")</f>
        <v>1542</v>
      </c>
      <c r="AW22" s="88"/>
      <c r="BA22" s="122">
        <f t="shared" si="0"/>
        <v>50</v>
      </c>
      <c r="BB22" s="143">
        <v>45261</v>
      </c>
      <c r="BC22" s="142">
        <f>IF(AND(BB22&gt;$P$8),"",DATE($R$4,($Q$4+8),1))</f>
        <v>45292</v>
      </c>
      <c r="BD22" s="144">
        <f t="shared" si="1"/>
        <v>45292</v>
      </c>
      <c r="BE22" s="144">
        <f t="shared" si="2"/>
        <v>45292</v>
      </c>
      <c r="BF22" s="144">
        <f t="shared" si="3"/>
        <v>45292</v>
      </c>
      <c r="BG22" s="122">
        <f t="shared" si="14"/>
        <v>63100</v>
      </c>
      <c r="BH22" s="122">
        <f>IF(BG22="","",IF(C30="","",ROUND(BG22*BA22%,0)))</f>
        <v>31550</v>
      </c>
      <c r="BI22" s="122">
        <f t="shared" si="11"/>
        <v>5679</v>
      </c>
      <c r="BJ22" s="122">
        <f t="shared" si="15"/>
        <v>61500</v>
      </c>
      <c r="BK22" s="122">
        <f t="shared" si="12"/>
        <v>30750</v>
      </c>
      <c r="BL22" s="122">
        <f t="shared" si="13"/>
        <v>5535</v>
      </c>
      <c r="BM22" s="122">
        <f t="shared" si="8"/>
        <v>2524</v>
      </c>
      <c r="BN22" s="122">
        <f t="shared" si="9"/>
        <v>2460</v>
      </c>
    </row>
    <row r="23" spans="1:69" ht="17.45" customHeight="1">
      <c r="A23" s="122">
        <f>IF(B22="","",IF(LEN(C23)&gt;=2,A22+1,0))</f>
        <v>2</v>
      </c>
      <c r="B23" s="111">
        <f t="shared" ref="B23:B32" si="16">IFERROR(IF(A23="","",IF(A23=0,"",A23)),"")</f>
        <v>2</v>
      </c>
      <c r="C23" s="113">
        <f t="shared" ref="C23:C32" si="17">IFERROR(IF(OR($P$6="",$P$8="",$P$4="",$Q$4="",$R$4=""),"",IF(AND($P$6&gt;$P$8),"",BF15)),"")</f>
        <v>45078</v>
      </c>
      <c r="D23" s="111">
        <f t="shared" ref="D23:D32" si="18">IFERROR(IF(C23="","",BG15),"")</f>
        <v>61300</v>
      </c>
      <c r="E23" s="111">
        <f t="shared" ref="E23:E32" si="19">IFERROR(IF(D23="","",IF(C23="","",BH15)),"")</f>
        <v>25746</v>
      </c>
      <c r="F23" s="111">
        <f t="shared" ref="F23:F32" si="20">IFERROR(IF(D23="","",IF(C23="","",BI15)),"")</f>
        <v>5517</v>
      </c>
      <c r="G23" s="110">
        <f t="shared" ref="G23:G32" si="21">IFERROR(IF(C23="","",IF(D23="","",SUM(D23:F23))),"")</f>
        <v>92563</v>
      </c>
      <c r="H23" s="111">
        <f t="shared" ref="H23:H32" si="22">IFERROR(IF(C23="","",BJ15),"")</f>
        <v>59700</v>
      </c>
      <c r="I23" s="111">
        <f t="shared" ref="I23:I32" si="23">IFERROR(IF(H23="","",IF(C23="","",BK15)),"")</f>
        <v>25074</v>
      </c>
      <c r="J23" s="111">
        <f t="shared" ref="J23:J32" si="24">IFERROR(IF(H23="","",IF(C23="","",BL15)),"")</f>
        <v>5373</v>
      </c>
      <c r="K23" s="110">
        <f t="shared" ref="K23:K32" si="25">IFERROR(IF(C23="","",IF(H23="","",SUM(H23:J23))),"")</f>
        <v>90147</v>
      </c>
      <c r="L23" s="111">
        <f t="shared" ref="L23:L32" si="26">IFERROR(IF(C23="","",IF(OR(D23="",H23=""),"",SUM(D23-H23))),"")</f>
        <v>1600</v>
      </c>
      <c r="M23" s="111">
        <f t="shared" ref="M23:M32" si="27">IFERROR(IF(C23="","",IF(OR(E23="",I23=""),"",SUM(E23-I23))),"")</f>
        <v>672</v>
      </c>
      <c r="N23" s="111">
        <f t="shared" ref="N23:N32" si="28">IFERROR(IF(C23="","",IF(OR(F23="",J23=""),"",SUM(F23-J23))),"")</f>
        <v>144</v>
      </c>
      <c r="O23" s="125">
        <f t="shared" ref="O23:O32" si="29">IFERROR(IF(C23="","",IF(OR(G23="",K23=""),"",SUM(G23-K23))),"")</f>
        <v>2416</v>
      </c>
      <c r="P23" s="111" t="str">
        <f t="shared" ref="P23:P32" si="30">IFERROR(IF(D23="","",IF(C23="","",BM15)),"")</f>
        <v/>
      </c>
      <c r="Q23" s="111" t="str">
        <f t="shared" ref="Q23:Q32" si="31">IFERROR(IF(H23="","",IF(C23="","",BN15)),"")</f>
        <v/>
      </c>
      <c r="R23" s="110" t="str">
        <f t="shared" ref="R23:R32" si="32">IFERROR(IF(C23="","",IF(AND(P23="",Q23=""),"",SUM(P23-Q23))),"")</f>
        <v/>
      </c>
      <c r="S23" s="114">
        <f t="shared" ref="S23:S32" si="33">IFERROR(IF(C23="","",IF($Z$2="","",IF($Z$2&lt;18001,265,IF($Z$2&lt;33501,440,IF($Z$2&lt;54001,658,875))))),"")</f>
        <v>875</v>
      </c>
      <c r="T23" s="114">
        <f t="shared" ref="T23:T32" si="34">IFERROR(IF(C23="","",IF($Z$2="","",IF($Z$2&lt;18001,265,IF($Z$2&lt;33501,440,IF($Z$2&lt;54001,658,875))))),"")</f>
        <v>875</v>
      </c>
      <c r="U23" s="110">
        <f t="shared" ref="U23:U32" si="35">IFERROR(IF(C23="","",IF(AND(S23="",T23=""),"",SUM(S23-T23))),"")</f>
        <v>0</v>
      </c>
      <c r="V23" s="111">
        <f t="shared" ref="V23:V32" si="36">IFERROR(IF($X$10="","",IF(C23="","",IF(O23="","",ROUND(O23*$X$10%,0)))),"")</f>
        <v>242</v>
      </c>
      <c r="W23" s="115"/>
      <c r="X23" s="110">
        <f t="shared" ref="X23:X32" si="37">IFERROR(IF(C23="","",IF(AND(V23="",W23=""),"",SUM(V23-W23))),"")</f>
        <v>242</v>
      </c>
      <c r="Y23" s="126">
        <f t="shared" ref="Y23:Y32" si="38">IFERROR(IF(C23="","",IF(AND(R23="",U23="",X23=""),"",SUM(R23,U23,X23))),"")</f>
        <v>242</v>
      </c>
      <c r="Z23" s="127">
        <f t="shared" ref="Z23:Z32" si="39">IFERROR(IF(C23="","",IF(AND(O23="",Y23=""),"",SUM(O23-Y23))),"")</f>
        <v>2174</v>
      </c>
      <c r="AW23" s="88"/>
      <c r="BA23" s="122">
        <f t="shared" si="0"/>
        <v>50</v>
      </c>
      <c r="BB23" s="143">
        <v>45292</v>
      </c>
      <c r="BC23" s="142">
        <f>IF(AND(BB23&gt;$P$8),"",DATE($R$4,($Q$4+9),1))</f>
        <v>45323</v>
      </c>
      <c r="BD23" s="144">
        <f t="shared" si="1"/>
        <v>45323</v>
      </c>
      <c r="BE23" s="144">
        <f t="shared" si="2"/>
        <v>45323</v>
      </c>
      <c r="BF23" s="144">
        <f t="shared" si="3"/>
        <v>45323</v>
      </c>
      <c r="BG23" s="122">
        <f t="shared" si="14"/>
        <v>63100</v>
      </c>
      <c r="BH23" s="122">
        <f t="shared" ref="BH23:BH28" si="40">IF(BG23="","",IF(C31="","",ROUND(BG23*BA23%,0)))</f>
        <v>31550</v>
      </c>
      <c r="BI23" s="122">
        <f t="shared" ref="BI23:BI29" si="41">IF(BG23="","",IF(C31="","",ROUND(BG23*$P$10%,0)))</f>
        <v>5679</v>
      </c>
      <c r="BJ23" s="122">
        <f t="shared" si="15"/>
        <v>61500</v>
      </c>
      <c r="BK23" s="122">
        <f t="shared" si="12"/>
        <v>30750</v>
      </c>
      <c r="BL23" s="122">
        <f t="shared" si="13"/>
        <v>5535</v>
      </c>
      <c r="BM23" s="122">
        <f t="shared" si="8"/>
        <v>2524</v>
      </c>
      <c r="BN23" s="122">
        <f t="shared" si="9"/>
        <v>2460</v>
      </c>
    </row>
    <row r="24" spans="1:69" ht="17.45" customHeight="1">
      <c r="A24" s="122">
        <f t="shared" ref="A24:A36" si="42">IF(B23="","",IF(LEN(C24)&gt;=2,A23+1,0))</f>
        <v>3</v>
      </c>
      <c r="B24" s="111">
        <f t="shared" si="16"/>
        <v>3</v>
      </c>
      <c r="C24" s="113">
        <f t="shared" si="17"/>
        <v>45108</v>
      </c>
      <c r="D24" s="111">
        <f t="shared" si="18"/>
        <v>63100</v>
      </c>
      <c r="E24" s="111">
        <f t="shared" si="19"/>
        <v>29026</v>
      </c>
      <c r="F24" s="111">
        <f t="shared" si="20"/>
        <v>5679</v>
      </c>
      <c r="G24" s="110">
        <f t="shared" si="21"/>
        <v>97805</v>
      </c>
      <c r="H24" s="111">
        <f t="shared" si="22"/>
        <v>61500</v>
      </c>
      <c r="I24" s="111">
        <f t="shared" si="23"/>
        <v>28290</v>
      </c>
      <c r="J24" s="111">
        <f t="shared" si="24"/>
        <v>5535</v>
      </c>
      <c r="K24" s="110">
        <f t="shared" si="25"/>
        <v>95325</v>
      </c>
      <c r="L24" s="111">
        <f t="shared" si="26"/>
        <v>1600</v>
      </c>
      <c r="M24" s="111">
        <f t="shared" si="27"/>
        <v>736</v>
      </c>
      <c r="N24" s="111">
        <f t="shared" si="28"/>
        <v>144</v>
      </c>
      <c r="O24" s="125">
        <f t="shared" si="29"/>
        <v>2480</v>
      </c>
      <c r="P24" s="111">
        <f t="shared" si="30"/>
        <v>2524</v>
      </c>
      <c r="Q24" s="111">
        <f t="shared" si="31"/>
        <v>2460</v>
      </c>
      <c r="R24" s="110">
        <f t="shared" si="32"/>
        <v>64</v>
      </c>
      <c r="S24" s="114">
        <f t="shared" si="33"/>
        <v>875</v>
      </c>
      <c r="T24" s="114">
        <f t="shared" si="34"/>
        <v>875</v>
      </c>
      <c r="U24" s="110">
        <f t="shared" si="35"/>
        <v>0</v>
      </c>
      <c r="V24" s="111">
        <f t="shared" si="36"/>
        <v>248</v>
      </c>
      <c r="W24" s="115"/>
      <c r="X24" s="110">
        <f t="shared" si="37"/>
        <v>248</v>
      </c>
      <c r="Y24" s="126">
        <f t="shared" si="38"/>
        <v>312</v>
      </c>
      <c r="Z24" s="127">
        <f t="shared" si="39"/>
        <v>2168</v>
      </c>
      <c r="BA24" s="122">
        <f t="shared" si="0"/>
        <v>50</v>
      </c>
      <c r="BB24" s="143">
        <v>45323</v>
      </c>
      <c r="BC24" s="142">
        <f>IF(AND(BB24&gt;$P$8),"",DATE($R$4,($Q$4+10),1))</f>
        <v>45352</v>
      </c>
      <c r="BD24" s="144">
        <f t="shared" si="1"/>
        <v>45352</v>
      </c>
      <c r="BE24" s="144">
        <f t="shared" si="2"/>
        <v>45352</v>
      </c>
      <c r="BF24" s="144">
        <f t="shared" si="3"/>
        <v>45352</v>
      </c>
      <c r="BG24" s="122">
        <f t="shared" si="14"/>
        <v>63100</v>
      </c>
      <c r="BH24" s="122">
        <f t="shared" si="40"/>
        <v>31550</v>
      </c>
      <c r="BI24" s="122">
        <f t="shared" si="41"/>
        <v>5679</v>
      </c>
      <c r="BJ24" s="122">
        <f t="shared" si="15"/>
        <v>61500</v>
      </c>
      <c r="BK24" s="122">
        <f t="shared" si="12"/>
        <v>30750</v>
      </c>
      <c r="BL24" s="122">
        <f t="shared" si="13"/>
        <v>5535</v>
      </c>
      <c r="BM24" s="122" t="str">
        <f t="shared" si="8"/>
        <v/>
      </c>
      <c r="BN24" s="122" t="str">
        <f t="shared" si="9"/>
        <v/>
      </c>
    </row>
    <row r="25" spans="1:69" ht="17.45" customHeight="1">
      <c r="A25" s="122">
        <f t="shared" si="42"/>
        <v>4</v>
      </c>
      <c r="B25" s="111">
        <f t="shared" si="16"/>
        <v>4</v>
      </c>
      <c r="C25" s="113">
        <f t="shared" si="17"/>
        <v>45139</v>
      </c>
      <c r="D25" s="111">
        <f t="shared" si="18"/>
        <v>63100</v>
      </c>
      <c r="E25" s="111">
        <f t="shared" si="19"/>
        <v>29026</v>
      </c>
      <c r="F25" s="111">
        <f t="shared" si="20"/>
        <v>5679</v>
      </c>
      <c r="G25" s="110">
        <f t="shared" si="21"/>
        <v>97805</v>
      </c>
      <c r="H25" s="111">
        <f t="shared" si="22"/>
        <v>61500</v>
      </c>
      <c r="I25" s="111">
        <f t="shared" si="23"/>
        <v>28290</v>
      </c>
      <c r="J25" s="111">
        <f t="shared" si="24"/>
        <v>5535</v>
      </c>
      <c r="K25" s="110">
        <f t="shared" si="25"/>
        <v>95325</v>
      </c>
      <c r="L25" s="111">
        <f t="shared" si="26"/>
        <v>1600</v>
      </c>
      <c r="M25" s="111">
        <f t="shared" si="27"/>
        <v>736</v>
      </c>
      <c r="N25" s="111">
        <f t="shared" si="28"/>
        <v>144</v>
      </c>
      <c r="O25" s="125">
        <f t="shared" si="29"/>
        <v>2480</v>
      </c>
      <c r="P25" s="111">
        <f t="shared" si="30"/>
        <v>2524</v>
      </c>
      <c r="Q25" s="111">
        <f t="shared" si="31"/>
        <v>2460</v>
      </c>
      <c r="R25" s="110">
        <f t="shared" si="32"/>
        <v>64</v>
      </c>
      <c r="S25" s="114">
        <f t="shared" si="33"/>
        <v>875</v>
      </c>
      <c r="T25" s="114">
        <f t="shared" si="34"/>
        <v>875</v>
      </c>
      <c r="U25" s="110">
        <f t="shared" si="35"/>
        <v>0</v>
      </c>
      <c r="V25" s="111">
        <f t="shared" si="36"/>
        <v>248</v>
      </c>
      <c r="W25" s="115"/>
      <c r="X25" s="110">
        <f t="shared" si="37"/>
        <v>248</v>
      </c>
      <c r="Y25" s="126">
        <f t="shared" si="38"/>
        <v>312</v>
      </c>
      <c r="Z25" s="127">
        <f t="shared" si="39"/>
        <v>2168</v>
      </c>
      <c r="BA25" s="122">
        <f t="shared" si="0"/>
        <v>50</v>
      </c>
      <c r="BB25" s="143">
        <v>45352</v>
      </c>
      <c r="BC25" s="142">
        <f>IF(AND(BB25&gt;$P$8),"",DATE($R$4,($Q$4+11),1))</f>
        <v>45383</v>
      </c>
      <c r="BD25" s="144">
        <f t="shared" si="1"/>
        <v>45383</v>
      </c>
      <c r="BE25" s="144">
        <f t="shared" si="2"/>
        <v>45383</v>
      </c>
      <c r="BF25" s="144">
        <f t="shared" si="3"/>
        <v>45383</v>
      </c>
      <c r="BG25" s="122">
        <f t="shared" si="14"/>
        <v>63100</v>
      </c>
      <c r="BH25" s="122">
        <f t="shared" si="40"/>
        <v>31550</v>
      </c>
      <c r="BI25" s="122">
        <f t="shared" si="41"/>
        <v>5679</v>
      </c>
      <c r="BJ25" s="122">
        <f t="shared" si="15"/>
        <v>61500</v>
      </c>
      <c r="BK25" s="122">
        <f t="shared" ref="BK25:BK30" si="43">IF(BJ25="","",IF(C33="","",ROUND(BJ25*BA25%,0)))</f>
        <v>30750</v>
      </c>
      <c r="BL25" s="122">
        <f t="shared" ref="BL25:BL30" si="44">IF(BJ25="","",IF(C33="","",ROUND(BJ25*$P$10%,0)))</f>
        <v>5535</v>
      </c>
      <c r="BM25" s="122" t="str">
        <f t="shared" ref="BM25:BM30" si="45">IFERROR(IF(BG25="","",IF(OR(BF25=$BB$17,BF25=$BB$18,BF25=$BB$19,BF25=$BB$20,BF25=$BB$23,BF25=$BB$24),ROUND(BG25*4%,0),"")),"")</f>
        <v/>
      </c>
      <c r="BN25" s="122" t="str">
        <f t="shared" ref="BN25:BN30" si="46">IFERROR(IF(BJ25="","",IF(OR(BF25=$BB$17,BF25=$BB$18,BF25=$BB$19,BF25=$BB$20,BF25=$BB$23,BF25=$BB$24),ROUND(BJ25*4%,0),"")),"")</f>
        <v/>
      </c>
    </row>
    <row r="26" spans="1:69" ht="17.45" customHeight="1">
      <c r="A26" s="122">
        <f t="shared" si="42"/>
        <v>5</v>
      </c>
      <c r="B26" s="111">
        <f t="shared" si="16"/>
        <v>5</v>
      </c>
      <c r="C26" s="113">
        <f t="shared" si="17"/>
        <v>45170</v>
      </c>
      <c r="D26" s="111">
        <f t="shared" si="18"/>
        <v>63100</v>
      </c>
      <c r="E26" s="111">
        <f t="shared" si="19"/>
        <v>29026</v>
      </c>
      <c r="F26" s="111">
        <f t="shared" si="20"/>
        <v>5679</v>
      </c>
      <c r="G26" s="110">
        <f t="shared" si="21"/>
        <v>97805</v>
      </c>
      <c r="H26" s="111">
        <f t="shared" si="22"/>
        <v>61500</v>
      </c>
      <c r="I26" s="111">
        <f t="shared" si="23"/>
        <v>28290</v>
      </c>
      <c r="J26" s="111">
        <f t="shared" si="24"/>
        <v>5535</v>
      </c>
      <c r="K26" s="110">
        <f t="shared" si="25"/>
        <v>95325</v>
      </c>
      <c r="L26" s="111">
        <f t="shared" si="26"/>
        <v>1600</v>
      </c>
      <c r="M26" s="111">
        <f t="shared" si="27"/>
        <v>736</v>
      </c>
      <c r="N26" s="111">
        <f t="shared" si="28"/>
        <v>144</v>
      </c>
      <c r="O26" s="125">
        <f t="shared" si="29"/>
        <v>2480</v>
      </c>
      <c r="P26" s="111">
        <f t="shared" si="30"/>
        <v>2524</v>
      </c>
      <c r="Q26" s="111">
        <f t="shared" si="31"/>
        <v>2460</v>
      </c>
      <c r="R26" s="110">
        <f t="shared" si="32"/>
        <v>64</v>
      </c>
      <c r="S26" s="114">
        <f t="shared" si="33"/>
        <v>875</v>
      </c>
      <c r="T26" s="114">
        <f t="shared" si="34"/>
        <v>875</v>
      </c>
      <c r="U26" s="110">
        <f t="shared" si="35"/>
        <v>0</v>
      </c>
      <c r="V26" s="111">
        <f t="shared" si="36"/>
        <v>248</v>
      </c>
      <c r="W26" s="115"/>
      <c r="X26" s="110">
        <f t="shared" si="37"/>
        <v>248</v>
      </c>
      <c r="Y26" s="126">
        <f t="shared" si="38"/>
        <v>312</v>
      </c>
      <c r="Z26" s="127">
        <f t="shared" si="39"/>
        <v>2168</v>
      </c>
      <c r="BA26" s="122">
        <f t="shared" si="0"/>
        <v>50</v>
      </c>
      <c r="BB26" s="143">
        <v>45383</v>
      </c>
      <c r="BC26" s="142">
        <f>IF(AND(BB26&gt;$P$8),"",DATE($R$4,($Q$4+12),1))</f>
        <v>45413</v>
      </c>
      <c r="BD26" s="144">
        <f t="shared" si="1"/>
        <v>45413</v>
      </c>
      <c r="BE26" s="144">
        <f t="shared" ref="BE26:BE28" si="47">IFERROR(IF(OR(BC26="",BD26=""),"",IF($BC$6=$BD$6,IF(BC26="",BD26,BC26),"")),"")</f>
        <v>45413</v>
      </c>
      <c r="BF26" s="144" t="str">
        <f t="shared" si="3"/>
        <v/>
      </c>
      <c r="BG26" s="122" t="str">
        <f t="shared" si="14"/>
        <v/>
      </c>
      <c r="BH26" s="122" t="str">
        <f t="shared" si="40"/>
        <v/>
      </c>
      <c r="BI26" s="122" t="str">
        <f t="shared" si="41"/>
        <v/>
      </c>
      <c r="BJ26" s="122" t="str">
        <f t="shared" si="15"/>
        <v/>
      </c>
      <c r="BK26" s="122" t="str">
        <f t="shared" si="43"/>
        <v/>
      </c>
      <c r="BL26" s="122" t="str">
        <f t="shared" si="44"/>
        <v/>
      </c>
      <c r="BM26" s="122" t="str">
        <f t="shared" si="45"/>
        <v/>
      </c>
      <c r="BN26" s="122" t="str">
        <f t="shared" si="46"/>
        <v/>
      </c>
    </row>
    <row r="27" spans="1:69" ht="17.45" customHeight="1">
      <c r="A27" s="122">
        <f t="shared" si="42"/>
        <v>6</v>
      </c>
      <c r="B27" s="111">
        <f t="shared" si="16"/>
        <v>6</v>
      </c>
      <c r="C27" s="113">
        <f t="shared" si="17"/>
        <v>45200</v>
      </c>
      <c r="D27" s="111">
        <f t="shared" si="18"/>
        <v>63100</v>
      </c>
      <c r="E27" s="111">
        <f t="shared" si="19"/>
        <v>29026</v>
      </c>
      <c r="F27" s="111">
        <f t="shared" si="20"/>
        <v>5679</v>
      </c>
      <c r="G27" s="110">
        <f t="shared" si="21"/>
        <v>97805</v>
      </c>
      <c r="H27" s="111">
        <f t="shared" si="22"/>
        <v>61500</v>
      </c>
      <c r="I27" s="111">
        <f t="shared" si="23"/>
        <v>28290</v>
      </c>
      <c r="J27" s="111">
        <f t="shared" si="24"/>
        <v>5535</v>
      </c>
      <c r="K27" s="110">
        <f t="shared" si="25"/>
        <v>95325</v>
      </c>
      <c r="L27" s="111">
        <f t="shared" si="26"/>
        <v>1600</v>
      </c>
      <c r="M27" s="111">
        <f t="shared" si="27"/>
        <v>736</v>
      </c>
      <c r="N27" s="111">
        <f t="shared" si="28"/>
        <v>144</v>
      </c>
      <c r="O27" s="125">
        <f t="shared" si="29"/>
        <v>2480</v>
      </c>
      <c r="P27" s="111">
        <f t="shared" si="30"/>
        <v>2524</v>
      </c>
      <c r="Q27" s="111">
        <f t="shared" si="31"/>
        <v>2460</v>
      </c>
      <c r="R27" s="110">
        <f t="shared" si="32"/>
        <v>64</v>
      </c>
      <c r="S27" s="114">
        <f t="shared" si="33"/>
        <v>875</v>
      </c>
      <c r="T27" s="114">
        <f t="shared" si="34"/>
        <v>875</v>
      </c>
      <c r="U27" s="110">
        <f t="shared" si="35"/>
        <v>0</v>
      </c>
      <c r="V27" s="111">
        <f t="shared" si="36"/>
        <v>248</v>
      </c>
      <c r="W27" s="115"/>
      <c r="X27" s="110">
        <f t="shared" si="37"/>
        <v>248</v>
      </c>
      <c r="Y27" s="126">
        <f t="shared" si="38"/>
        <v>312</v>
      </c>
      <c r="Z27" s="127">
        <f t="shared" si="39"/>
        <v>2168</v>
      </c>
      <c r="BA27" s="122">
        <f t="shared" si="0"/>
        <v>50</v>
      </c>
      <c r="BB27" s="143">
        <v>45413</v>
      </c>
      <c r="BC27" s="142" t="str">
        <f>IF(AND(BB27&gt;$P$8),"",DATE($R$4,($Q$4+13),1))</f>
        <v/>
      </c>
      <c r="BD27" s="144" t="str">
        <f t="shared" si="1"/>
        <v/>
      </c>
      <c r="BE27" s="144" t="str">
        <f t="shared" si="47"/>
        <v/>
      </c>
      <c r="BF27" s="144" t="str">
        <f t="shared" si="3"/>
        <v/>
      </c>
      <c r="BG27" s="122" t="str">
        <f t="shared" si="14"/>
        <v/>
      </c>
      <c r="BH27" s="122" t="str">
        <f t="shared" si="40"/>
        <v/>
      </c>
      <c r="BI27" s="122" t="str">
        <f t="shared" si="41"/>
        <v/>
      </c>
      <c r="BJ27" s="122" t="str">
        <f t="shared" si="15"/>
        <v/>
      </c>
      <c r="BK27" s="122" t="str">
        <f t="shared" si="43"/>
        <v/>
      </c>
      <c r="BL27" s="122" t="str">
        <f t="shared" si="44"/>
        <v/>
      </c>
      <c r="BM27" s="122" t="str">
        <f t="shared" si="45"/>
        <v/>
      </c>
      <c r="BN27" s="122" t="str">
        <f t="shared" si="46"/>
        <v/>
      </c>
    </row>
    <row r="28" spans="1:69" ht="17.45" customHeight="1">
      <c r="A28" s="122">
        <f t="shared" si="42"/>
        <v>7</v>
      </c>
      <c r="B28" s="111">
        <f t="shared" si="16"/>
        <v>7</v>
      </c>
      <c r="C28" s="113">
        <f t="shared" si="17"/>
        <v>45231</v>
      </c>
      <c r="D28" s="111">
        <f t="shared" si="18"/>
        <v>63100</v>
      </c>
      <c r="E28" s="111">
        <f t="shared" si="19"/>
        <v>29026</v>
      </c>
      <c r="F28" s="111">
        <f t="shared" si="20"/>
        <v>5679</v>
      </c>
      <c r="G28" s="110">
        <f t="shared" si="21"/>
        <v>97805</v>
      </c>
      <c r="H28" s="111">
        <f t="shared" si="22"/>
        <v>61500</v>
      </c>
      <c r="I28" s="111">
        <f t="shared" si="23"/>
        <v>28290</v>
      </c>
      <c r="J28" s="111">
        <f t="shared" si="24"/>
        <v>5535</v>
      </c>
      <c r="K28" s="110">
        <f t="shared" si="25"/>
        <v>95325</v>
      </c>
      <c r="L28" s="111">
        <f t="shared" si="26"/>
        <v>1600</v>
      </c>
      <c r="M28" s="111">
        <f t="shared" si="27"/>
        <v>736</v>
      </c>
      <c r="N28" s="111">
        <f t="shared" si="28"/>
        <v>144</v>
      </c>
      <c r="O28" s="125">
        <f t="shared" si="29"/>
        <v>2480</v>
      </c>
      <c r="P28" s="111" t="str">
        <f t="shared" si="30"/>
        <v/>
      </c>
      <c r="Q28" s="111" t="str">
        <f t="shared" si="31"/>
        <v/>
      </c>
      <c r="R28" s="110" t="str">
        <f t="shared" si="32"/>
        <v/>
      </c>
      <c r="S28" s="114">
        <f t="shared" si="33"/>
        <v>875</v>
      </c>
      <c r="T28" s="114">
        <f t="shared" si="34"/>
        <v>875</v>
      </c>
      <c r="U28" s="110">
        <f t="shared" si="35"/>
        <v>0</v>
      </c>
      <c r="V28" s="111">
        <f t="shared" si="36"/>
        <v>248</v>
      </c>
      <c r="W28" s="115"/>
      <c r="X28" s="110">
        <f t="shared" si="37"/>
        <v>248</v>
      </c>
      <c r="Y28" s="126">
        <f t="shared" si="38"/>
        <v>248</v>
      </c>
      <c r="Z28" s="127">
        <f t="shared" si="39"/>
        <v>2232</v>
      </c>
      <c r="BA28" s="122">
        <f t="shared" si="0"/>
        <v>50</v>
      </c>
      <c r="BB28" s="143">
        <v>45444</v>
      </c>
      <c r="BC28" s="142" t="str">
        <f>IF(AND(BB28&gt;$P$8),"",DATE($R$4,($Q$4+14),1))</f>
        <v/>
      </c>
      <c r="BD28" s="144" t="str">
        <f t="shared" si="1"/>
        <v/>
      </c>
      <c r="BE28" s="144" t="str">
        <f t="shared" si="47"/>
        <v/>
      </c>
      <c r="BF28" s="144" t="str">
        <f t="shared" si="3"/>
        <v/>
      </c>
      <c r="BG28" s="122" t="str">
        <f t="shared" si="14"/>
        <v/>
      </c>
      <c r="BH28" s="122" t="str">
        <f t="shared" si="40"/>
        <v/>
      </c>
      <c r="BI28" s="122" t="str">
        <f t="shared" si="41"/>
        <v/>
      </c>
      <c r="BJ28" s="122" t="str">
        <f t="shared" si="15"/>
        <v/>
      </c>
      <c r="BK28" s="122" t="str">
        <f t="shared" si="43"/>
        <v/>
      </c>
      <c r="BL28" s="122" t="str">
        <f t="shared" si="44"/>
        <v/>
      </c>
      <c r="BM28" s="122" t="str">
        <f t="shared" si="45"/>
        <v/>
      </c>
      <c r="BN28" s="122" t="str">
        <f t="shared" si="46"/>
        <v/>
      </c>
    </row>
    <row r="29" spans="1:69" ht="17.45" customHeight="1">
      <c r="A29" s="122">
        <f t="shared" si="42"/>
        <v>8</v>
      </c>
      <c r="B29" s="111">
        <f t="shared" si="16"/>
        <v>8</v>
      </c>
      <c r="C29" s="113">
        <f t="shared" si="17"/>
        <v>45261</v>
      </c>
      <c r="D29" s="111">
        <f t="shared" si="18"/>
        <v>63100</v>
      </c>
      <c r="E29" s="111">
        <f t="shared" si="19"/>
        <v>29026</v>
      </c>
      <c r="F29" s="111">
        <f t="shared" si="20"/>
        <v>5679</v>
      </c>
      <c r="G29" s="110">
        <f t="shared" si="21"/>
        <v>97805</v>
      </c>
      <c r="H29" s="111">
        <f t="shared" si="22"/>
        <v>61500</v>
      </c>
      <c r="I29" s="111">
        <f t="shared" si="23"/>
        <v>28290</v>
      </c>
      <c r="J29" s="111">
        <f t="shared" si="24"/>
        <v>5535</v>
      </c>
      <c r="K29" s="110">
        <f t="shared" si="25"/>
        <v>95325</v>
      </c>
      <c r="L29" s="111">
        <f t="shared" si="26"/>
        <v>1600</v>
      </c>
      <c r="M29" s="111">
        <f t="shared" si="27"/>
        <v>736</v>
      </c>
      <c r="N29" s="111">
        <f t="shared" si="28"/>
        <v>144</v>
      </c>
      <c r="O29" s="125">
        <f t="shared" si="29"/>
        <v>2480</v>
      </c>
      <c r="P29" s="111" t="str">
        <f t="shared" si="30"/>
        <v/>
      </c>
      <c r="Q29" s="111" t="str">
        <f t="shared" si="31"/>
        <v/>
      </c>
      <c r="R29" s="110" t="str">
        <f t="shared" si="32"/>
        <v/>
      </c>
      <c r="S29" s="114">
        <f t="shared" si="33"/>
        <v>875</v>
      </c>
      <c r="T29" s="114">
        <f t="shared" si="34"/>
        <v>875</v>
      </c>
      <c r="U29" s="110">
        <f t="shared" si="35"/>
        <v>0</v>
      </c>
      <c r="V29" s="111">
        <f t="shared" si="36"/>
        <v>248</v>
      </c>
      <c r="W29" s="115"/>
      <c r="X29" s="110">
        <f t="shared" si="37"/>
        <v>248</v>
      </c>
      <c r="Y29" s="126">
        <f t="shared" si="38"/>
        <v>248</v>
      </c>
      <c r="Z29" s="127">
        <f t="shared" si="39"/>
        <v>2232</v>
      </c>
      <c r="BA29" s="122">
        <f t="shared" si="0"/>
        <v>50</v>
      </c>
      <c r="BB29" s="143">
        <v>45474</v>
      </c>
      <c r="BC29" s="142" t="str">
        <f>IF(AND(BB29&gt;$P$8),"",DATE($R$4,($Q$4+15),1))</f>
        <v/>
      </c>
      <c r="BD29" s="144" t="str">
        <f t="shared" si="1"/>
        <v/>
      </c>
      <c r="BE29" s="144" t="str">
        <f t="shared" ref="BE29" si="48">IFERROR(IF(OR(BC29="",BD29=""),"",IF($BC$6=$BD$6,IF(BC29="",BD29,BC29),"")),"")</f>
        <v/>
      </c>
      <c r="BF29" s="144" t="str">
        <f t="shared" si="3"/>
        <v/>
      </c>
      <c r="BG29" s="122" t="str">
        <f t="shared" si="14"/>
        <v/>
      </c>
      <c r="BH29" s="122" t="str">
        <f>IF(BG29="","",IF(C37="","",ROUND(BG29*BA29%,0)))</f>
        <v/>
      </c>
      <c r="BI29" s="122" t="str">
        <f t="shared" si="41"/>
        <v/>
      </c>
      <c r="BJ29" s="122" t="str">
        <f t="shared" si="15"/>
        <v/>
      </c>
      <c r="BK29" s="122" t="str">
        <f t="shared" si="43"/>
        <v/>
      </c>
      <c r="BL29" s="122" t="str">
        <f t="shared" si="44"/>
        <v/>
      </c>
      <c r="BM29" s="122" t="str">
        <f t="shared" si="45"/>
        <v/>
      </c>
      <c r="BN29" s="122" t="str">
        <f t="shared" si="46"/>
        <v/>
      </c>
    </row>
    <row r="30" spans="1:69" ht="17.45" customHeight="1">
      <c r="A30" s="122">
        <f t="shared" si="42"/>
        <v>9</v>
      </c>
      <c r="B30" s="111">
        <f t="shared" si="16"/>
        <v>9</v>
      </c>
      <c r="C30" s="113">
        <f t="shared" si="17"/>
        <v>45292</v>
      </c>
      <c r="D30" s="111">
        <f t="shared" si="18"/>
        <v>63100</v>
      </c>
      <c r="E30" s="111">
        <f t="shared" si="19"/>
        <v>31550</v>
      </c>
      <c r="F30" s="111">
        <f t="shared" si="20"/>
        <v>5679</v>
      </c>
      <c r="G30" s="110">
        <f t="shared" si="21"/>
        <v>100329</v>
      </c>
      <c r="H30" s="111">
        <f t="shared" si="22"/>
        <v>61500</v>
      </c>
      <c r="I30" s="111">
        <f t="shared" si="23"/>
        <v>30750</v>
      </c>
      <c r="J30" s="111">
        <f t="shared" si="24"/>
        <v>5535</v>
      </c>
      <c r="K30" s="110">
        <f t="shared" si="25"/>
        <v>97785</v>
      </c>
      <c r="L30" s="111">
        <f t="shared" si="26"/>
        <v>1600</v>
      </c>
      <c r="M30" s="111">
        <f t="shared" si="27"/>
        <v>800</v>
      </c>
      <c r="N30" s="111">
        <f t="shared" si="28"/>
        <v>144</v>
      </c>
      <c r="O30" s="125">
        <f t="shared" si="29"/>
        <v>2544</v>
      </c>
      <c r="P30" s="111">
        <f t="shared" si="30"/>
        <v>2524</v>
      </c>
      <c r="Q30" s="111">
        <f t="shared" si="31"/>
        <v>2460</v>
      </c>
      <c r="R30" s="110">
        <f t="shared" si="32"/>
        <v>64</v>
      </c>
      <c r="S30" s="114">
        <f t="shared" si="33"/>
        <v>875</v>
      </c>
      <c r="T30" s="114">
        <f t="shared" si="34"/>
        <v>875</v>
      </c>
      <c r="U30" s="110">
        <f t="shared" si="35"/>
        <v>0</v>
      </c>
      <c r="V30" s="111">
        <f t="shared" si="36"/>
        <v>254</v>
      </c>
      <c r="W30" s="115"/>
      <c r="X30" s="110">
        <f t="shared" si="37"/>
        <v>254</v>
      </c>
      <c r="Y30" s="126">
        <f t="shared" si="38"/>
        <v>318</v>
      </c>
      <c r="Z30" s="127">
        <f t="shared" si="39"/>
        <v>2226</v>
      </c>
      <c r="BH30" s="122" t="str">
        <f t="shared" ref="BH30" si="49">IF(BG30="","",IF(C38="","",ROUND(BG30*BA30%,0)))</f>
        <v/>
      </c>
      <c r="BI30" s="122" t="str">
        <f t="shared" ref="BI30" si="50">IF(BG30="","",IF(C38="","",ROUND(BG30*$P$10%,0)))</f>
        <v/>
      </c>
      <c r="BK30" s="122" t="str">
        <f t="shared" si="43"/>
        <v/>
      </c>
      <c r="BL30" s="122" t="str">
        <f t="shared" si="44"/>
        <v/>
      </c>
      <c r="BM30" s="122" t="str">
        <f t="shared" si="45"/>
        <v/>
      </c>
      <c r="BN30" s="122" t="str">
        <f t="shared" si="46"/>
        <v/>
      </c>
    </row>
    <row r="31" spans="1:69" ht="17.45" customHeight="1">
      <c r="A31" s="122">
        <f t="shared" si="42"/>
        <v>10</v>
      </c>
      <c r="B31" s="111">
        <f t="shared" si="16"/>
        <v>10</v>
      </c>
      <c r="C31" s="113">
        <f t="shared" si="17"/>
        <v>45323</v>
      </c>
      <c r="D31" s="111">
        <f t="shared" si="18"/>
        <v>63100</v>
      </c>
      <c r="E31" s="111">
        <f t="shared" si="19"/>
        <v>31550</v>
      </c>
      <c r="F31" s="111">
        <f t="shared" si="20"/>
        <v>5679</v>
      </c>
      <c r="G31" s="110">
        <f t="shared" si="21"/>
        <v>100329</v>
      </c>
      <c r="H31" s="111">
        <f t="shared" si="22"/>
        <v>61500</v>
      </c>
      <c r="I31" s="111">
        <f t="shared" si="23"/>
        <v>30750</v>
      </c>
      <c r="J31" s="111">
        <f t="shared" si="24"/>
        <v>5535</v>
      </c>
      <c r="K31" s="110">
        <f t="shared" si="25"/>
        <v>97785</v>
      </c>
      <c r="L31" s="111">
        <f t="shared" si="26"/>
        <v>1600</v>
      </c>
      <c r="M31" s="111">
        <f t="shared" si="27"/>
        <v>800</v>
      </c>
      <c r="N31" s="111">
        <f t="shared" si="28"/>
        <v>144</v>
      </c>
      <c r="O31" s="125">
        <f t="shared" si="29"/>
        <v>2544</v>
      </c>
      <c r="P31" s="111">
        <f t="shared" si="30"/>
        <v>2524</v>
      </c>
      <c r="Q31" s="111">
        <f t="shared" si="31"/>
        <v>2460</v>
      </c>
      <c r="R31" s="110">
        <f t="shared" si="32"/>
        <v>64</v>
      </c>
      <c r="S31" s="114">
        <f t="shared" si="33"/>
        <v>875</v>
      </c>
      <c r="T31" s="114">
        <f t="shared" si="34"/>
        <v>875</v>
      </c>
      <c r="U31" s="110">
        <f t="shared" si="35"/>
        <v>0</v>
      </c>
      <c r="V31" s="111">
        <f t="shared" si="36"/>
        <v>254</v>
      </c>
      <c r="W31" s="115"/>
      <c r="X31" s="110">
        <f t="shared" si="37"/>
        <v>254</v>
      </c>
      <c r="Y31" s="126">
        <f t="shared" si="38"/>
        <v>318</v>
      </c>
      <c r="Z31" s="127">
        <f t="shared" si="39"/>
        <v>2226</v>
      </c>
      <c r="BB31" s="141">
        <f>DATE(YEAR(R4),MONTH(Q4)+1,DAY(P4))</f>
        <v>1868</v>
      </c>
    </row>
    <row r="32" spans="1:69" ht="17.45" customHeight="1">
      <c r="A32" s="122">
        <f t="shared" si="42"/>
        <v>11</v>
      </c>
      <c r="B32" s="111">
        <f t="shared" si="16"/>
        <v>11</v>
      </c>
      <c r="C32" s="113">
        <f t="shared" si="17"/>
        <v>45352</v>
      </c>
      <c r="D32" s="111">
        <f t="shared" si="18"/>
        <v>63100</v>
      </c>
      <c r="E32" s="111">
        <f t="shared" si="19"/>
        <v>31550</v>
      </c>
      <c r="F32" s="111">
        <f t="shared" si="20"/>
        <v>5679</v>
      </c>
      <c r="G32" s="110">
        <f t="shared" si="21"/>
        <v>100329</v>
      </c>
      <c r="H32" s="111">
        <f t="shared" si="22"/>
        <v>61500</v>
      </c>
      <c r="I32" s="111">
        <f t="shared" si="23"/>
        <v>30750</v>
      </c>
      <c r="J32" s="111">
        <f t="shared" si="24"/>
        <v>5535</v>
      </c>
      <c r="K32" s="110">
        <f t="shared" si="25"/>
        <v>97785</v>
      </c>
      <c r="L32" s="111">
        <f t="shared" si="26"/>
        <v>1600</v>
      </c>
      <c r="M32" s="111">
        <f t="shared" si="27"/>
        <v>800</v>
      </c>
      <c r="N32" s="111">
        <f t="shared" si="28"/>
        <v>144</v>
      </c>
      <c r="O32" s="125">
        <f t="shared" si="29"/>
        <v>2544</v>
      </c>
      <c r="P32" s="111" t="str">
        <f t="shared" si="30"/>
        <v/>
      </c>
      <c r="Q32" s="111" t="str">
        <f t="shared" si="31"/>
        <v/>
      </c>
      <c r="R32" s="110" t="str">
        <f t="shared" si="32"/>
        <v/>
      </c>
      <c r="S32" s="114">
        <f t="shared" si="33"/>
        <v>875</v>
      </c>
      <c r="T32" s="114">
        <f t="shared" si="34"/>
        <v>875</v>
      </c>
      <c r="U32" s="110">
        <f t="shared" si="35"/>
        <v>0</v>
      </c>
      <c r="V32" s="111">
        <f t="shared" si="36"/>
        <v>254</v>
      </c>
      <c r="W32" s="115"/>
      <c r="X32" s="110">
        <f t="shared" si="37"/>
        <v>254</v>
      </c>
      <c r="Y32" s="126">
        <f t="shared" si="38"/>
        <v>254</v>
      </c>
      <c r="Z32" s="127">
        <f t="shared" si="39"/>
        <v>2290</v>
      </c>
      <c r="BB32" s="141">
        <f>DATE(R4,(Q4+1),P4)</f>
        <v>45087</v>
      </c>
      <c r="BC32" s="141">
        <f>DATE(2023,(Q4+1),1)</f>
        <v>45078</v>
      </c>
    </row>
    <row r="33" spans="1:55" ht="17.45" customHeight="1">
      <c r="A33" s="122">
        <f t="shared" si="42"/>
        <v>12</v>
      </c>
      <c r="B33" s="111">
        <f t="shared" ref="B33:B36" si="51">IFERROR(IF(A33="","",IF(A33=0,"",A33)),"")</f>
        <v>12</v>
      </c>
      <c r="C33" s="113">
        <f t="shared" ref="C33:C35" si="52">IFERROR(IF(OR($P$6="",$P$8="",$P$4="",$Q$4="",$R$4=""),"",IF(AND($P$6&gt;$P$8),"",BF25)),"")</f>
        <v>45383</v>
      </c>
      <c r="D33" s="111">
        <f t="shared" ref="D33:D36" si="53">IFERROR(IF(C33="","",BG25),"")</f>
        <v>63100</v>
      </c>
      <c r="E33" s="111">
        <f t="shared" ref="E33:E36" si="54">IFERROR(IF(D33="","",IF(C33="","",BH25)),"")</f>
        <v>31550</v>
      </c>
      <c r="F33" s="111">
        <f t="shared" ref="F33:F36" si="55">IFERROR(IF(D33="","",IF(C33="","",BI25)),"")</f>
        <v>5679</v>
      </c>
      <c r="G33" s="110">
        <f t="shared" ref="G33:G36" si="56">IFERROR(IF(C33="","",IF(D33="","",SUM(D33:F33))),"")</f>
        <v>100329</v>
      </c>
      <c r="H33" s="111">
        <f t="shared" ref="H33:H36" si="57">IFERROR(IF(C33="","",BJ25),"")</f>
        <v>61500</v>
      </c>
      <c r="I33" s="111">
        <f t="shared" ref="I33:I36" si="58">IFERROR(IF(H33="","",IF(C33="","",BK25)),"")</f>
        <v>30750</v>
      </c>
      <c r="J33" s="111">
        <f t="shared" ref="J33:J36" si="59">IFERROR(IF(H33="","",IF(C33="","",BL25)),"")</f>
        <v>5535</v>
      </c>
      <c r="K33" s="110">
        <f t="shared" ref="K33:K36" si="60">IFERROR(IF(C33="","",IF(H33="","",SUM(H33:J33))),"")</f>
        <v>97785</v>
      </c>
      <c r="L33" s="111">
        <f t="shared" ref="L33:L36" si="61">IFERROR(IF(C33="","",IF(OR(D33="",H33=""),"",SUM(D33-H33))),"")</f>
        <v>1600</v>
      </c>
      <c r="M33" s="111">
        <f t="shared" ref="M33:M36" si="62">IFERROR(IF(C33="","",IF(OR(E33="",I33=""),"",SUM(E33-I33))),"")</f>
        <v>800</v>
      </c>
      <c r="N33" s="111">
        <f t="shared" ref="N33:N36" si="63">IFERROR(IF(C33="","",IF(OR(F33="",J33=""),"",SUM(F33-J33))),"")</f>
        <v>144</v>
      </c>
      <c r="O33" s="125">
        <f t="shared" ref="O33:O36" si="64">IFERROR(IF(C33="","",IF(OR(G33="",K33=""),"",SUM(G33-K33))),"")</f>
        <v>2544</v>
      </c>
      <c r="P33" s="111" t="str">
        <f t="shared" ref="P33:P36" si="65">IFERROR(IF(D33="","",IF(C33="","",BM25)),"")</f>
        <v/>
      </c>
      <c r="Q33" s="111" t="str">
        <f t="shared" ref="Q33:Q36" si="66">IFERROR(IF(H33="","",IF(C33="","",BN25)),"")</f>
        <v/>
      </c>
      <c r="R33" s="110" t="str">
        <f t="shared" ref="R33:R36" si="67">IFERROR(IF(C33="","",IF(AND(P33="",Q33=""),"",SUM(P33-Q33))),"")</f>
        <v/>
      </c>
      <c r="S33" s="180">
        <f t="shared" ref="S33:S36" si="68">IFERROR(IF(C33="","",IF($Z$2="","",IF($Z$2&lt;18001,265,IF($Z$2&lt;33501,440,IF($Z$2&lt;54001,658,875))))),"")</f>
        <v>875</v>
      </c>
      <c r="T33" s="180">
        <f t="shared" ref="T33:T36" si="69">IFERROR(IF(C33="","",IF($Z$2="","",IF($Z$2&lt;18001,265,IF($Z$2&lt;33501,440,IF($Z$2&lt;54001,658,875))))),"")</f>
        <v>875</v>
      </c>
      <c r="U33" s="110">
        <f t="shared" ref="U33:U36" si="70">IFERROR(IF(C33="","",IF(AND(S33="",T33=""),"",SUM(S33-T33))),"")</f>
        <v>0</v>
      </c>
      <c r="V33" s="111">
        <f t="shared" ref="V33:V36" si="71">IFERROR(IF($X$10="","",IF(C33="","",IF(O33="","",ROUND(O33*$X$10%,0)))),"")</f>
        <v>254</v>
      </c>
      <c r="W33" s="115"/>
      <c r="X33" s="110">
        <f t="shared" ref="X33:X36" si="72">IFERROR(IF(C33="","",IF(AND(V33="",W33=""),"",SUM(V33-W33))),"")</f>
        <v>254</v>
      </c>
      <c r="Y33" s="126">
        <f t="shared" ref="Y33:Y36" si="73">IFERROR(IF(C33="","",IF(AND(R33="",U33="",X33=""),"",SUM(R33,U33,X33))),"")</f>
        <v>254</v>
      </c>
      <c r="Z33" s="127">
        <f t="shared" ref="Z33:Z36" si="74">IFERROR(IF(C33="","",IF(AND(O33="",Y33=""),"",SUM(O33-Y33))),"")</f>
        <v>2290</v>
      </c>
      <c r="BB33" s="141"/>
      <c r="BC33" s="141"/>
    </row>
    <row r="34" spans="1:55" ht="17.45" customHeight="1">
      <c r="A34" s="122">
        <f t="shared" si="42"/>
        <v>0</v>
      </c>
      <c r="B34" s="111" t="str">
        <f t="shared" si="51"/>
        <v/>
      </c>
      <c r="C34" s="113" t="str">
        <f t="shared" si="52"/>
        <v/>
      </c>
      <c r="D34" s="111" t="str">
        <f t="shared" si="53"/>
        <v/>
      </c>
      <c r="E34" s="111" t="str">
        <f t="shared" si="54"/>
        <v/>
      </c>
      <c r="F34" s="111" t="str">
        <f t="shared" si="55"/>
        <v/>
      </c>
      <c r="G34" s="110" t="str">
        <f t="shared" si="56"/>
        <v/>
      </c>
      <c r="H34" s="111" t="str">
        <f t="shared" si="57"/>
        <v/>
      </c>
      <c r="I34" s="111" t="str">
        <f t="shared" si="58"/>
        <v/>
      </c>
      <c r="J34" s="111" t="str">
        <f t="shared" si="59"/>
        <v/>
      </c>
      <c r="K34" s="110" t="str">
        <f t="shared" si="60"/>
        <v/>
      </c>
      <c r="L34" s="111" t="str">
        <f t="shared" si="61"/>
        <v/>
      </c>
      <c r="M34" s="111" t="str">
        <f t="shared" si="62"/>
        <v/>
      </c>
      <c r="N34" s="111" t="str">
        <f t="shared" si="63"/>
        <v/>
      </c>
      <c r="O34" s="125" t="str">
        <f t="shared" si="64"/>
        <v/>
      </c>
      <c r="P34" s="111" t="str">
        <f t="shared" si="65"/>
        <v/>
      </c>
      <c r="Q34" s="111" t="str">
        <f t="shared" si="66"/>
        <v/>
      </c>
      <c r="R34" s="110" t="str">
        <f t="shared" si="67"/>
        <v/>
      </c>
      <c r="S34" s="180" t="str">
        <f t="shared" si="68"/>
        <v/>
      </c>
      <c r="T34" s="180" t="str">
        <f t="shared" si="69"/>
        <v/>
      </c>
      <c r="U34" s="110" t="str">
        <f t="shared" si="70"/>
        <v/>
      </c>
      <c r="V34" s="111" t="str">
        <f t="shared" si="71"/>
        <v/>
      </c>
      <c r="W34" s="115"/>
      <c r="X34" s="110" t="str">
        <f t="shared" si="72"/>
        <v/>
      </c>
      <c r="Y34" s="126" t="str">
        <f t="shared" si="73"/>
        <v/>
      </c>
      <c r="Z34" s="127" t="str">
        <f t="shared" si="74"/>
        <v/>
      </c>
      <c r="BB34" s="141"/>
      <c r="BC34" s="141"/>
    </row>
    <row r="35" spans="1:55" ht="17.45" customHeight="1">
      <c r="A35" s="122" t="str">
        <f t="shared" si="42"/>
        <v/>
      </c>
      <c r="B35" s="111" t="str">
        <f t="shared" si="51"/>
        <v/>
      </c>
      <c r="C35" s="113" t="str">
        <f t="shared" si="52"/>
        <v/>
      </c>
      <c r="D35" s="111" t="str">
        <f t="shared" si="53"/>
        <v/>
      </c>
      <c r="E35" s="111" t="str">
        <f t="shared" si="54"/>
        <v/>
      </c>
      <c r="F35" s="111" t="str">
        <f t="shared" si="55"/>
        <v/>
      </c>
      <c r="G35" s="110" t="str">
        <f t="shared" si="56"/>
        <v/>
      </c>
      <c r="H35" s="111" t="str">
        <f t="shared" si="57"/>
        <v/>
      </c>
      <c r="I35" s="111" t="str">
        <f t="shared" si="58"/>
        <v/>
      </c>
      <c r="J35" s="111" t="str">
        <f t="shared" si="59"/>
        <v/>
      </c>
      <c r="K35" s="110" t="str">
        <f t="shared" si="60"/>
        <v/>
      </c>
      <c r="L35" s="111" t="str">
        <f t="shared" si="61"/>
        <v/>
      </c>
      <c r="M35" s="111" t="str">
        <f t="shared" si="62"/>
        <v/>
      </c>
      <c r="N35" s="111" t="str">
        <f t="shared" si="63"/>
        <v/>
      </c>
      <c r="O35" s="125" t="str">
        <f t="shared" si="64"/>
        <v/>
      </c>
      <c r="P35" s="111" t="str">
        <f t="shared" si="65"/>
        <v/>
      </c>
      <c r="Q35" s="111" t="str">
        <f t="shared" si="66"/>
        <v/>
      </c>
      <c r="R35" s="110" t="str">
        <f t="shared" si="67"/>
        <v/>
      </c>
      <c r="S35" s="180" t="str">
        <f t="shared" si="68"/>
        <v/>
      </c>
      <c r="T35" s="180" t="str">
        <f t="shared" si="69"/>
        <v/>
      </c>
      <c r="U35" s="110" t="str">
        <f t="shared" si="70"/>
        <v/>
      </c>
      <c r="V35" s="111" t="str">
        <f t="shared" si="71"/>
        <v/>
      </c>
      <c r="W35" s="115"/>
      <c r="X35" s="110" t="str">
        <f t="shared" si="72"/>
        <v/>
      </c>
      <c r="Y35" s="126" t="str">
        <f t="shared" si="73"/>
        <v/>
      </c>
      <c r="Z35" s="127" t="str">
        <f t="shared" si="74"/>
        <v/>
      </c>
      <c r="BB35" s="141"/>
      <c r="BC35" s="141"/>
    </row>
    <row r="36" spans="1:55" ht="17.45" customHeight="1">
      <c r="A36" s="122" t="str">
        <f t="shared" si="42"/>
        <v/>
      </c>
      <c r="B36" s="111" t="str">
        <f t="shared" si="51"/>
        <v/>
      </c>
      <c r="C36" s="113" t="str">
        <f>IFERROR(IF(OR($P$6="",$P$8="",$P$4="",$Q$4="",$R$4=""),"",IF(AND($P$6&gt;$P$8),"",BF28)),"")</f>
        <v/>
      </c>
      <c r="D36" s="111" t="str">
        <f t="shared" si="53"/>
        <v/>
      </c>
      <c r="E36" s="111" t="str">
        <f t="shared" si="54"/>
        <v/>
      </c>
      <c r="F36" s="111" t="str">
        <f t="shared" si="55"/>
        <v/>
      </c>
      <c r="G36" s="110" t="str">
        <f t="shared" si="56"/>
        <v/>
      </c>
      <c r="H36" s="111" t="str">
        <f t="shared" si="57"/>
        <v/>
      </c>
      <c r="I36" s="111" t="str">
        <f t="shared" si="58"/>
        <v/>
      </c>
      <c r="J36" s="111" t="str">
        <f t="shared" si="59"/>
        <v/>
      </c>
      <c r="K36" s="110" t="str">
        <f t="shared" si="60"/>
        <v/>
      </c>
      <c r="L36" s="111" t="str">
        <f t="shared" si="61"/>
        <v/>
      </c>
      <c r="M36" s="111" t="str">
        <f t="shared" si="62"/>
        <v/>
      </c>
      <c r="N36" s="111" t="str">
        <f t="shared" si="63"/>
        <v/>
      </c>
      <c r="O36" s="125" t="str">
        <f t="shared" si="64"/>
        <v/>
      </c>
      <c r="P36" s="111" t="str">
        <f t="shared" si="65"/>
        <v/>
      </c>
      <c r="Q36" s="111" t="str">
        <f t="shared" si="66"/>
        <v/>
      </c>
      <c r="R36" s="110" t="str">
        <f t="shared" si="67"/>
        <v/>
      </c>
      <c r="S36" s="180" t="str">
        <f t="shared" si="68"/>
        <v/>
      </c>
      <c r="T36" s="180" t="str">
        <f t="shared" si="69"/>
        <v/>
      </c>
      <c r="U36" s="110" t="str">
        <f t="shared" si="70"/>
        <v/>
      </c>
      <c r="V36" s="111" t="str">
        <f t="shared" si="71"/>
        <v/>
      </c>
      <c r="W36" s="115"/>
      <c r="X36" s="110" t="str">
        <f t="shared" si="72"/>
        <v/>
      </c>
      <c r="Y36" s="126" t="str">
        <f t="shared" si="73"/>
        <v/>
      </c>
      <c r="Z36" s="127" t="str">
        <f t="shared" si="74"/>
        <v/>
      </c>
      <c r="BB36" s="141">
        <f>DATE(YEAR(P6),MONTH(P6)+1,DAY(P6))</f>
        <v>45078</v>
      </c>
      <c r="BC36" s="141">
        <f>DATE($R$4,($Q$4+9),1)</f>
        <v>45323</v>
      </c>
    </row>
    <row r="37" spans="1:55" ht="57.75" customHeight="1">
      <c r="B37" s="309" t="s">
        <v>157</v>
      </c>
      <c r="C37" s="309"/>
      <c r="D37" s="130">
        <f>IFERROR(IF(OR($P$6="",$P$8="",$P$4="",$Q$4="",$R$4="",$P$10=""),"",SUM(D22:D36)),"")</f>
        <v>735803</v>
      </c>
      <c r="E37" s="130">
        <f t="shared" ref="E37:Z37" si="75">IFERROR(IF(OR($P$6="",$P$8="",$P$4="",$Q$4="",$R$4="",$P$10=""),"",SUM(E22:E36)),"")</f>
        <v>344373</v>
      </c>
      <c r="F37" s="130">
        <f t="shared" si="75"/>
        <v>66222</v>
      </c>
      <c r="G37" s="130">
        <f t="shared" si="75"/>
        <v>1146398</v>
      </c>
      <c r="H37" s="130">
        <f t="shared" si="75"/>
        <v>717068</v>
      </c>
      <c r="I37" s="130">
        <f t="shared" si="75"/>
        <v>335609</v>
      </c>
      <c r="J37" s="130">
        <f t="shared" si="75"/>
        <v>64536</v>
      </c>
      <c r="K37" s="130">
        <f t="shared" si="75"/>
        <v>1117213</v>
      </c>
      <c r="L37" s="130">
        <f t="shared" si="75"/>
        <v>18735</v>
      </c>
      <c r="M37" s="130">
        <f t="shared" si="75"/>
        <v>8764</v>
      </c>
      <c r="N37" s="130">
        <f t="shared" si="75"/>
        <v>1686</v>
      </c>
      <c r="O37" s="130">
        <f t="shared" si="75"/>
        <v>29185</v>
      </c>
      <c r="P37" s="130">
        <f t="shared" si="75"/>
        <v>15144</v>
      </c>
      <c r="Q37" s="130">
        <f t="shared" si="75"/>
        <v>14760</v>
      </c>
      <c r="R37" s="130">
        <f t="shared" si="75"/>
        <v>384</v>
      </c>
      <c r="S37" s="130">
        <f t="shared" si="75"/>
        <v>10500</v>
      </c>
      <c r="T37" s="130">
        <f t="shared" si="75"/>
        <v>10500</v>
      </c>
      <c r="U37" s="130">
        <f t="shared" si="75"/>
        <v>0</v>
      </c>
      <c r="V37" s="130">
        <f t="shared" si="75"/>
        <v>2917</v>
      </c>
      <c r="W37" s="130">
        <f t="shared" si="75"/>
        <v>0</v>
      </c>
      <c r="X37" s="130">
        <f t="shared" si="75"/>
        <v>2917</v>
      </c>
      <c r="Y37" s="130">
        <f t="shared" si="75"/>
        <v>3301</v>
      </c>
      <c r="Z37" s="129">
        <f t="shared" si="75"/>
        <v>25884</v>
      </c>
    </row>
    <row r="38" spans="1:55" ht="8.25" customHeight="1"/>
    <row r="39" spans="1:55" ht="17.25">
      <c r="H39" s="341" t="s">
        <v>174</v>
      </c>
      <c r="I39" s="341"/>
      <c r="J39" s="341"/>
      <c r="K39" s="341"/>
      <c r="L39" s="341"/>
      <c r="M39" s="337" t="str">
        <f>IF(AND(Z37=""),"",IF(AND(Z37=0),"","( Rs. "&amp;LOOKUP(IF(INT(RIGHT(Z37,7)/100000)&gt;19,INT(RIGHT(Z37,7)/1000000),IF(INT(RIGHT(Z37,7)/100000)&gt;=10,INT(RIGHT(Z37,7)/100000),0)),{0,1,2,3,4,5,6,7,8,9,10,11,12,13,14,15,16,17,18,19},{""," TEN "," TWENTY "," THIRTY "," FOURTY "," FIFTY "," SIXTY "," SEVENTY "," EIGHTY "," NINETY "," TEN "," ELEVEN "," TWELVE "," THIRTEEN "," FOURTEEN "," FIFTEEN "," SIXTEEN"," SEVENTEEN"," EIGHTEEN "," NINETEEN "})&amp;IF((IF(INT(RIGHT(Z37,7)/100000)&gt;19,INT(RIGHT(Z37,7)/1000000),IF(INT(RIGHT(Z37,7)/100000)&gt;=10,INT(RIGHT(Z37,7)/100000),0))+IF(INT(RIGHT(Z37,7)/100000)&gt;19,INT(RIGHT(Z37,6)/100000),IF(INT(RIGHT(Z37,7)/100000)&gt;10,0,INT(RIGHT(Z37,6)/100000))))&gt;0,LOOKUP(IF(INT(RIGHT(Z37,7)/100000)&gt;19,INT(RIGHT(Z37,6)/100000),IF(INT(RIGHT(Z37,7)/100000)&gt;10,0,INT(RIGHT(Z37,6)/100000))),{0,1,2,3,4,5,6,7,8,9,10,11,12,13,14,15,16,17,18,19},{""," ONE "," TWO "," THREE "," FOUR "," FIVE "," SIX "," SEVEN "," EIGHT "," NINE "," TEN "," ELEVEN "," TWELVE "," THIRTEEN "," FOURTEEN "," FIFTEEN "," SIXTEEN"," SEVENTEEN"," EIGHTEEN "," NINETEEN "})&amp;" Lac. "," ")&amp;LOOKUP(IF(INT(RIGHT(Z37,5)/1000)&gt;19,INT(RIGHT(Z37,5)/10000),IF(INT(RIGHT(Z37,5)/1000)&gt;=10,INT(RIGHT(Z37,5)/1000),0)),{0,1,2,3,4,5,6,7,8,9,10,11,12,13,14,15,16,17,18,19},{""," TEN "," TWENTY "," THIRTY "," FOURTY "," FIFTY "," SIXTY "," SEVENTY "," EIGHTY "," NINETY "," TEN "," ELEVEN "," TWELVE "," THIRTEEN "," FOURTEEN "," FIFTEEN "," SIXTEEN"," SEVENTEEN"," EIGHTEEN "," NINETEEN "})&amp;IF((IF(INT(RIGHT(Z37,5)/1000)&gt;19,INT(RIGHT(Z37,4)/1000),IF(INT(RIGHT(Z37,5)/1000)&gt;10,0,INT(RIGHT(Z37,4)/1000)))+IF(INT(RIGHT(Z37,5)/1000)&gt;19,INT(RIGHT(Z37,5)/10000),IF(INT(RIGHT(Z37,5)/1000)&gt;=10,INT(RIGHT(Z37,5)/1000),0)))&gt;0,LOOKUP(IF(INT(RIGHT(Z37,5)/1000)&gt;19,INT(RIGHT(Z37,4)/1000),IF(INT(RIGHT(Z37,5)/1000)&gt;10,0,INT(RIGHT(Z37,4)/1000))),{0,1,2,3,4,5,6,7,8,9,10,11,12,13,14,15,16,17,18,19},{""," ONE "," TWO "," THREE "," FOUR "," FIVE "," SIX "," SEVEN "," EIGHT "," NINE "," TEN "," ELEVEN "," TWELVE "," THIRTEEN "," FOURTEEN "," FIFTEEN "," SIXTEEN"," SEVENTEEN"," EIGHTEEN "," NINETEEN "})&amp;" THOUSAND "," ")&amp;IF((INT((RIGHT(Z37,3))/100))&gt;0,LOOKUP(INT((RIGHT(Z37,3))/100),{0,1,2,3,4,5,6,7,8,9,10,11,12,13,14,15,16,17,18,19},{""," ONE "," TWO "," THREE "," FOUR "," FIVE "," SIX "," SEVEN "," EIGHT "," NINE "," TEN "," ELEVEN "," TWELVE "," THIRTEEN "," FOURTEEN "," FIFTEEN "," SIXTEEN"," SEVENTEEN"," EIGHTEEN "," NINETEEN "})&amp;" HUNDRED "," ")&amp;LOOKUP(IF(INT(RIGHT(Z37,2))&gt;19,INT(RIGHT(Z37,2)/10),IF(INT(RIGHT(Z37,2))&gt;=10,INT(RIGHT(Z37,2)),0)),{0,1,2,3,4,5,6,7,8,9,10,11,12,13,14,15,16,17,18,19},{""," TEN "," TWENTY "," THIRTY "," FOURTY "," FIFTY "," SIXTY "," SEVENTY "," EIGHTY "," NINETY "," TEN "," ELEVEN "," TWELVE "," THIRTEEN "," FOURTEEN "," FIFTEEN "," SIXTEEN"," SEVENTEEN"," EIGHTEEN "," NINETEEN "})&amp;LOOKUP(IF(INT(RIGHT(Z37,2))&lt;10,INT(RIGHT(Z37,1)),IF(INT(RIGHT(Z37,2))&lt;20,0,INT(RIGHT(Z37,1)))),{0,1,2,3,4,5,6,7,8,9,10,11,12,13,14,15,16,17,18,19},{""," ONE "," TWO "," THREE "," FOUR "," FIVE "," SIX "," SEVEN "," EIGHT "," NINE "," TEN "," ELEVEN "," TWELVE "," THIRTEEN "," FOURTEEN "," FIFTEEN "," SIXTEEN"," SEVENTEEN"," EIGHTEEN "," NINETEEN "})&amp;" Only  )"))</f>
        <v>( Rs.   TWENTY  FIVE  THOUSAND  EIGHT  HUNDRED  EIGHTY  FOUR  Only  )</v>
      </c>
      <c r="N39" s="337"/>
      <c r="O39" s="337"/>
      <c r="P39" s="337"/>
      <c r="Q39" s="337"/>
      <c r="R39" s="337"/>
      <c r="S39" s="337"/>
      <c r="T39" s="337"/>
      <c r="U39" s="337"/>
      <c r="V39" s="337"/>
      <c r="W39" s="337"/>
      <c r="X39" s="337"/>
      <c r="Y39" s="337"/>
      <c r="Z39" s="337"/>
    </row>
    <row r="40" spans="1:55" ht="15" customHeight="1">
      <c r="U40" s="340"/>
      <c r="V40" s="340"/>
      <c r="W40" s="340"/>
      <c r="X40" s="340"/>
      <c r="Y40" s="340"/>
      <c r="Z40" s="340"/>
    </row>
    <row r="41" spans="1:55" ht="15" customHeight="1">
      <c r="C41" s="335" t="s">
        <v>181</v>
      </c>
      <c r="D41" s="336"/>
      <c r="E41" s="342" t="s">
        <v>182</v>
      </c>
      <c r="F41" s="343"/>
      <c r="G41" s="335" t="s">
        <v>183</v>
      </c>
      <c r="H41" s="336"/>
      <c r="I41" s="335" t="s">
        <v>193</v>
      </c>
      <c r="J41" s="336"/>
      <c r="K41" s="335" t="s">
        <v>184</v>
      </c>
      <c r="L41" s="336"/>
      <c r="U41" s="278" t="str">
        <f>IFERROR(CONCATENATE("( ",IF('Master Sheet'!D9="","",UPPER('Master Sheet'!D9))," ) ",),"")</f>
        <v xml:space="preserve">( USHA PALIYA ) </v>
      </c>
      <c r="V41" s="278"/>
      <c r="W41" s="278"/>
      <c r="X41" s="278"/>
      <c r="Y41" s="278"/>
      <c r="Z41" s="278"/>
    </row>
    <row r="42" spans="1:55" ht="15.75">
      <c r="C42" s="344">
        <f>IF(G37="","",G37)</f>
        <v>1146398</v>
      </c>
      <c r="D42" s="344"/>
      <c r="E42" s="344">
        <f>IF(K37="","",K37)</f>
        <v>1117213</v>
      </c>
      <c r="F42" s="344"/>
      <c r="G42" s="345">
        <f>IF(O37="","",O37)</f>
        <v>29185</v>
      </c>
      <c r="H42" s="345"/>
      <c r="I42" s="346">
        <f>IF(Y37="","",Y37)</f>
        <v>3301</v>
      </c>
      <c r="J42" s="346"/>
      <c r="K42" s="347">
        <f>IF(Z37="","",Z37)</f>
        <v>25884</v>
      </c>
      <c r="L42" s="347"/>
      <c r="U42" s="338" t="s">
        <v>175</v>
      </c>
      <c r="V42" s="338"/>
      <c r="W42" s="338"/>
      <c r="X42" s="338"/>
      <c r="Y42" s="338"/>
      <c r="Z42" s="338"/>
    </row>
    <row r="43" spans="1:55">
      <c r="C43" s="344"/>
      <c r="D43" s="344"/>
      <c r="E43" s="344"/>
      <c r="F43" s="344"/>
      <c r="G43" s="345"/>
      <c r="H43" s="345"/>
      <c r="I43" s="346"/>
      <c r="J43" s="346"/>
      <c r="K43" s="347"/>
      <c r="L43" s="347"/>
      <c r="U43" s="339" t="str">
        <f>IFERROR(CONCATENATE(IF('Master Sheet'!D7="","",('Master Sheet'!D7))," , ",IF('Master Sheet'!Q9="","",'Master Sheet'!Q9)),"")</f>
        <v>Mahatma Gandhi Government School (English Medium) Bar, (Beawar) , 11111</v>
      </c>
      <c r="V43" s="339"/>
      <c r="W43" s="339"/>
      <c r="X43" s="339"/>
      <c r="Y43" s="339"/>
      <c r="Z43" s="339"/>
    </row>
    <row r="44" spans="1:55">
      <c r="U44" s="339"/>
      <c r="V44" s="339"/>
      <c r="W44" s="339"/>
      <c r="X44" s="339"/>
      <c r="Y44" s="339"/>
      <c r="Z44" s="339"/>
    </row>
    <row r="45" spans="1:55" ht="18.75">
      <c r="B45" s="139" t="s">
        <v>176</v>
      </c>
      <c r="C45" s="350"/>
      <c r="D45" s="350"/>
      <c r="E45" s="350"/>
      <c r="F45" s="350"/>
      <c r="G45" s="350"/>
      <c r="H45" s="131"/>
      <c r="I45" s="140" t="s">
        <v>121</v>
      </c>
      <c r="J45" s="351">
        <f ca="1">TODAY()</f>
        <v>45425</v>
      </c>
      <c r="K45" s="351"/>
    </row>
    <row r="46" spans="1:55" ht="15.75">
      <c r="B46" s="352" t="s">
        <v>177</v>
      </c>
      <c r="C46" s="352"/>
      <c r="D46" s="352"/>
      <c r="E46" s="352"/>
      <c r="F46" s="352"/>
      <c r="G46" s="352"/>
      <c r="H46" s="352"/>
    </row>
    <row r="47" spans="1:55" ht="18.75">
      <c r="B47" s="132">
        <v>1</v>
      </c>
      <c r="C47" s="353" t="s">
        <v>178</v>
      </c>
      <c r="D47" s="353"/>
      <c r="E47" s="353"/>
      <c r="F47" s="353"/>
      <c r="G47" s="353"/>
      <c r="H47" s="353"/>
      <c r="I47" s="131"/>
      <c r="J47" s="133"/>
      <c r="L47" s="134"/>
      <c r="M47" s="134"/>
      <c r="N47" s="134"/>
      <c r="O47" s="134"/>
      <c r="P47" s="134"/>
      <c r="U47" s="340"/>
      <c r="V47" s="340"/>
      <c r="W47" s="340"/>
      <c r="X47" s="340"/>
      <c r="Y47" s="340"/>
      <c r="Z47" s="340"/>
    </row>
    <row r="48" spans="1:55" ht="18.75">
      <c r="B48" s="135">
        <v>2</v>
      </c>
      <c r="C48" s="348" t="s">
        <v>179</v>
      </c>
      <c r="D48" s="348"/>
      <c r="E48" s="348"/>
      <c r="F48" s="348"/>
      <c r="G48" s="349" t="str">
        <f>CONCATENATE(IF('Master Sheet'!D11="","",'Master Sheet'!D11),",  ",IF('Master Sheet'!N11="","",'Master Sheet'!N11))</f>
        <v>HEERALAL JAT,  Sr. Teacher</v>
      </c>
      <c r="H48" s="349"/>
      <c r="I48" s="349"/>
      <c r="J48" s="349"/>
      <c r="K48" s="349"/>
      <c r="L48" s="349"/>
      <c r="M48" s="349"/>
      <c r="N48" s="349"/>
      <c r="O48" s="138"/>
      <c r="P48" s="138"/>
      <c r="U48" s="278" t="str">
        <f>IFERROR(CONCATENATE("( ",IF('Master Sheet'!D9="","",UPPER('Master Sheet'!D9))," ) ",),"")</f>
        <v xml:space="preserve">( USHA PALIYA ) </v>
      </c>
      <c r="V48" s="278"/>
      <c r="W48" s="278"/>
      <c r="X48" s="278"/>
      <c r="Y48" s="278"/>
      <c r="Z48" s="278"/>
    </row>
    <row r="49" spans="2:26" ht="18.75">
      <c r="B49" s="132">
        <v>3</v>
      </c>
      <c r="C49" s="348" t="s">
        <v>180</v>
      </c>
      <c r="D49" s="348"/>
      <c r="E49" s="136"/>
      <c r="F49" s="136"/>
      <c r="G49" s="137"/>
      <c r="H49" s="137"/>
      <c r="I49" s="137"/>
      <c r="J49" s="137"/>
      <c r="K49" s="137"/>
      <c r="L49" s="137"/>
      <c r="M49" s="137"/>
      <c r="N49" s="137"/>
      <c r="O49" s="137"/>
      <c r="P49" s="137"/>
      <c r="U49" s="338" t="s">
        <v>175</v>
      </c>
      <c r="V49" s="338"/>
      <c r="W49" s="338"/>
      <c r="X49" s="338"/>
      <c r="Y49" s="338"/>
      <c r="Z49" s="338"/>
    </row>
    <row r="50" spans="2:26">
      <c r="U50" s="339" t="str">
        <f>IFERROR(CONCATENATE(IF('Master Sheet'!D7="","",('Master Sheet'!D7))," , ",IF('Master Sheet'!Q9="","",'Master Sheet'!Q9)),"")</f>
        <v>Mahatma Gandhi Government School (English Medium) Bar, (Beawar) , 11111</v>
      </c>
      <c r="V50" s="339"/>
      <c r="W50" s="339"/>
      <c r="X50" s="339"/>
      <c r="Y50" s="339"/>
      <c r="Z50" s="339"/>
    </row>
    <row r="51" spans="2:26">
      <c r="U51" s="339"/>
      <c r="V51" s="339"/>
      <c r="W51" s="339"/>
      <c r="X51" s="339"/>
      <c r="Y51" s="339"/>
      <c r="Z51" s="339"/>
    </row>
    <row r="52" spans="2:26"/>
    <row r="53" spans="2:26"/>
    <row r="54" spans="2:26"/>
    <row r="55" spans="2:26"/>
  </sheetData>
  <sheetProtection password="C1FB" sheet="1" objects="1" scenarios="1" formatColumns="0" formatRows="0"/>
  <mergeCells count="76">
    <mergeCell ref="U50:Z51"/>
    <mergeCell ref="C42:D43"/>
    <mergeCell ref="E42:F43"/>
    <mergeCell ref="G42:H43"/>
    <mergeCell ref="I42:J43"/>
    <mergeCell ref="K42:L43"/>
    <mergeCell ref="C49:D49"/>
    <mergeCell ref="G48:N48"/>
    <mergeCell ref="U47:Z47"/>
    <mergeCell ref="U48:Z48"/>
    <mergeCell ref="U49:Z49"/>
    <mergeCell ref="C45:G45"/>
    <mergeCell ref="J45:K45"/>
    <mergeCell ref="B46:H46"/>
    <mergeCell ref="C47:H47"/>
    <mergeCell ref="C48:F48"/>
    <mergeCell ref="C41:D41"/>
    <mergeCell ref="M39:Z39"/>
    <mergeCell ref="U42:Z42"/>
    <mergeCell ref="U41:Z41"/>
    <mergeCell ref="U43:Z44"/>
    <mergeCell ref="U40:Z40"/>
    <mergeCell ref="H39:L39"/>
    <mergeCell ref="K41:L41"/>
    <mergeCell ref="I41:J41"/>
    <mergeCell ref="G41:H41"/>
    <mergeCell ref="E41:F41"/>
    <mergeCell ref="C19:C21"/>
    <mergeCell ref="Y19:Y21"/>
    <mergeCell ref="M20:M21"/>
    <mergeCell ref="N20:N21"/>
    <mergeCell ref="O20:O21"/>
    <mergeCell ref="P20:R20"/>
    <mergeCell ref="V20:X20"/>
    <mergeCell ref="Z19:Z21"/>
    <mergeCell ref="D20:D21"/>
    <mergeCell ref="E20:E21"/>
    <mergeCell ref="F20:F21"/>
    <mergeCell ref="G20:G21"/>
    <mergeCell ref="H20:H21"/>
    <mergeCell ref="I20:I21"/>
    <mergeCell ref="J20:J21"/>
    <mergeCell ref="K20:K21"/>
    <mergeCell ref="L20:L21"/>
    <mergeCell ref="B19:B21"/>
    <mergeCell ref="B37:C37"/>
    <mergeCell ref="H2:U2"/>
    <mergeCell ref="J6:O6"/>
    <mergeCell ref="P6:R6"/>
    <mergeCell ref="J8:O8"/>
    <mergeCell ref="M16:O16"/>
    <mergeCell ref="S20:U20"/>
    <mergeCell ref="D19:G19"/>
    <mergeCell ref="H19:K19"/>
    <mergeCell ref="L19:O19"/>
    <mergeCell ref="P19:X19"/>
    <mergeCell ref="P8:R8"/>
    <mergeCell ref="C14:Z14"/>
    <mergeCell ref="C16:E16"/>
    <mergeCell ref="F16:J16"/>
    <mergeCell ref="I4:O4"/>
    <mergeCell ref="K17:R17"/>
    <mergeCell ref="P16:R16"/>
    <mergeCell ref="S16:Z16"/>
    <mergeCell ref="J10:O10"/>
    <mergeCell ref="P10:R10"/>
    <mergeCell ref="Q15:S15"/>
    <mergeCell ref="J15:L15"/>
    <mergeCell ref="M15:O15"/>
    <mergeCell ref="K16:L16"/>
    <mergeCell ref="U10:W10"/>
    <mergeCell ref="T6:Y6"/>
    <mergeCell ref="O12:S12"/>
    <mergeCell ref="C12:J12"/>
    <mergeCell ref="B4:G4"/>
    <mergeCell ref="B6:G6"/>
  </mergeCells>
  <conditionalFormatting sqref="P3:R3">
    <cfRule type="expression" dxfId="2" priority="3" stopIfTrue="1">
      <formula>$H$21="NO"</formula>
    </cfRule>
  </conditionalFormatting>
  <conditionalFormatting sqref="S6">
    <cfRule type="expression" dxfId="1" priority="2">
      <formula>$Z$4=$Q$4</formula>
    </cfRule>
  </conditionalFormatting>
  <conditionalFormatting sqref="O12:S12">
    <cfRule type="cellIs" dxfId="0" priority="1" operator="equal">
      <formula>"Complete Entry"</formula>
    </cfRule>
  </conditionalFormatting>
  <dataValidations count="2">
    <dataValidation type="list" allowBlank="1" showInputMessage="1" showErrorMessage="1" sqref="P6:R6 P8:R8">
      <formula1>month</formula1>
    </dataValidation>
    <dataValidation type="list" allowBlank="1" showInputMessage="1" showErrorMessage="1" sqref="P10:R10">
      <formula1>"9, 18"</formula1>
    </dataValidation>
  </dataValidations>
  <hyperlinks>
    <hyperlink ref="B6" r:id="rId1"/>
  </hyperlinks>
  <pageMargins left="0.45" right="0.2" top="0.25" bottom="0.25" header="0.3" footer="0.3"/>
  <pageSetup paperSize="9" scale="81" orientation="landscape" blackAndWhite="1" r:id="rId2"/>
  <drawing r:id="rId3"/>
</worksheet>
</file>

<file path=xl/worksheets/sheet8.xml><?xml version="1.0" encoding="utf-8"?>
<worksheet xmlns="http://schemas.openxmlformats.org/spreadsheetml/2006/main" xmlns:r="http://schemas.openxmlformats.org/officeDocument/2006/relationships">
  <sheetPr>
    <tabColor rgb="FF7030A0"/>
    <pageSetUpPr fitToPage="1"/>
  </sheetPr>
  <dimension ref="A1:AB41"/>
  <sheetViews>
    <sheetView showGridLines="0" workbookViewId="0">
      <selection activeCell="AB22" sqref="AB22"/>
    </sheetView>
  </sheetViews>
  <sheetFormatPr defaultColWidth="0" defaultRowHeight="15" zeroHeight="1"/>
  <cols>
    <col min="1" max="1" width="3.75" customWidth="1"/>
    <col min="2" max="2" width="4.625" customWidth="1"/>
    <col min="3" max="3" width="9" customWidth="1"/>
    <col min="4" max="15" width="7.125" customWidth="1"/>
    <col min="16" max="24" width="6.125" customWidth="1"/>
    <col min="25" max="27" width="8.125" customWidth="1"/>
    <col min="28" max="28" width="9" customWidth="1"/>
    <col min="29" max="16384" width="9" hidden="1"/>
  </cols>
  <sheetData>
    <row r="1" spans="2:27"/>
    <row r="2" spans="2:27" ht="25.5">
      <c r="B2" s="5"/>
      <c r="C2" s="354" t="str">
        <f>CONCATENATE("Office , ",IF('Master Sheet'!D7="","",'Master Sheet'!D7))</f>
        <v>Office , Mahatma Gandhi Government School (English Medium) Bar, (Beawar)</v>
      </c>
      <c r="D2" s="354"/>
      <c r="E2" s="354"/>
      <c r="F2" s="354"/>
      <c r="G2" s="354"/>
      <c r="H2" s="354"/>
      <c r="I2" s="354"/>
      <c r="J2" s="354"/>
      <c r="K2" s="354"/>
      <c r="L2" s="354"/>
      <c r="M2" s="354"/>
      <c r="N2" s="354"/>
      <c r="O2" s="354"/>
      <c r="P2" s="354"/>
      <c r="Q2" s="354"/>
      <c r="R2" s="354"/>
      <c r="S2" s="354"/>
      <c r="T2" s="354"/>
      <c r="U2" s="354"/>
      <c r="V2" s="354"/>
      <c r="W2" s="354"/>
      <c r="X2" s="354"/>
      <c r="Y2" s="354"/>
      <c r="Z2" s="354"/>
      <c r="AA2" s="354"/>
    </row>
    <row r="3" spans="2:27" ht="23.25">
      <c r="B3" s="5"/>
      <c r="C3" s="112"/>
      <c r="D3" s="112"/>
      <c r="E3" s="112"/>
      <c r="F3" s="112"/>
      <c r="G3" s="112"/>
      <c r="H3" s="112"/>
      <c r="I3" s="112"/>
      <c r="J3" s="296" t="s">
        <v>164</v>
      </c>
      <c r="K3" s="296"/>
      <c r="L3" s="296"/>
      <c r="M3" s="297">
        <f>Arrear!M15</f>
        <v>45047</v>
      </c>
      <c r="N3" s="297"/>
      <c r="O3" s="297"/>
      <c r="P3" s="123" t="s">
        <v>163</v>
      </c>
      <c r="Q3" s="295">
        <f>Arrear!Q15</f>
        <v>45383</v>
      </c>
      <c r="R3" s="295"/>
      <c r="S3" s="295"/>
      <c r="T3" s="112"/>
      <c r="U3" s="112"/>
      <c r="V3" s="112"/>
      <c r="W3" s="112"/>
      <c r="X3" s="112"/>
      <c r="Y3" s="112"/>
      <c r="Z3" s="112"/>
      <c r="AA3" s="112"/>
    </row>
    <row r="4" spans="2:27" ht="18.75">
      <c r="B4" s="50"/>
      <c r="C4" s="291" t="s">
        <v>161</v>
      </c>
      <c r="D4" s="291"/>
      <c r="E4" s="291"/>
      <c r="F4" s="355" t="str">
        <f>IF('Master Sheet'!D11="","",UPPER('Master Sheet'!D11))</f>
        <v>HEERALAL JAT</v>
      </c>
      <c r="G4" s="355"/>
      <c r="H4" s="355"/>
      <c r="I4" s="355"/>
      <c r="J4" s="355"/>
      <c r="K4" s="291" t="s">
        <v>160</v>
      </c>
      <c r="L4" s="291"/>
      <c r="M4" s="356" t="str">
        <f>IF('Master Sheet'!N11="","",'Master Sheet'!N11)</f>
        <v>Sr. Teacher</v>
      </c>
      <c r="N4" s="356"/>
      <c r="O4" s="356"/>
      <c r="P4" s="291" t="s">
        <v>162</v>
      </c>
      <c r="Q4" s="291"/>
      <c r="R4" s="291"/>
      <c r="S4" s="357" t="str">
        <f>'Master Sheet'!D7</f>
        <v>Mahatma Gandhi Government School (English Medium) Bar, (Beawar)</v>
      </c>
      <c r="T4" s="357"/>
      <c r="U4" s="357"/>
      <c r="V4" s="357"/>
      <c r="W4" s="357"/>
      <c r="X4" s="357"/>
      <c r="Y4" s="357"/>
      <c r="Z4" s="357"/>
      <c r="AA4" s="357"/>
    </row>
    <row r="5" spans="2:27" ht="18.75">
      <c r="B5" s="50"/>
      <c r="C5" s="172" t="str">
        <f>IFERROR(IF(AND(#REF!="",#REF!=""),"",IF(#REF!&gt;$AT$6,"",#REF!)),"")</f>
        <v/>
      </c>
      <c r="D5" s="172"/>
      <c r="E5" s="172"/>
      <c r="F5" s="120"/>
      <c r="G5" s="120"/>
      <c r="H5" s="120"/>
      <c r="I5" s="120"/>
      <c r="J5" s="120"/>
      <c r="K5" s="290" t="s">
        <v>165</v>
      </c>
      <c r="L5" s="290"/>
      <c r="M5" s="290"/>
      <c r="N5" s="290"/>
      <c r="O5" s="290"/>
      <c r="P5" s="290"/>
      <c r="Q5" s="290"/>
      <c r="R5" s="290"/>
      <c r="S5" s="357"/>
      <c r="T5" s="357"/>
      <c r="U5" s="357"/>
      <c r="V5" s="357"/>
      <c r="W5" s="357"/>
      <c r="X5" s="357"/>
      <c r="Y5" s="357"/>
      <c r="Z5" s="357"/>
      <c r="AA5" s="357"/>
    </row>
    <row r="6" spans="2:27">
      <c r="B6" s="5"/>
      <c r="C6" s="78"/>
      <c r="D6" s="78"/>
      <c r="E6" s="78"/>
      <c r="F6" s="78"/>
      <c r="G6" s="78"/>
      <c r="H6" s="78"/>
      <c r="I6" s="78"/>
      <c r="J6" s="78"/>
      <c r="K6" s="78"/>
      <c r="L6" s="78"/>
      <c r="M6" s="78"/>
      <c r="N6" s="78"/>
      <c r="O6" s="78"/>
      <c r="P6" s="78"/>
      <c r="Q6" s="78"/>
      <c r="R6" s="78"/>
      <c r="S6" s="78"/>
      <c r="T6" s="78"/>
      <c r="U6" s="78"/>
      <c r="V6" s="78"/>
      <c r="W6" s="78"/>
      <c r="X6" s="78"/>
      <c r="Y6" s="78"/>
      <c r="Z6" s="78"/>
      <c r="AA6" s="78"/>
    </row>
    <row r="7" spans="2:27" ht="15.75">
      <c r="B7" s="306" t="s">
        <v>166</v>
      </c>
      <c r="C7" s="329" t="s">
        <v>188</v>
      </c>
      <c r="D7" s="318" t="s">
        <v>185</v>
      </c>
      <c r="E7" s="318"/>
      <c r="F7" s="318"/>
      <c r="G7" s="318"/>
      <c r="H7" s="318" t="s">
        <v>186</v>
      </c>
      <c r="I7" s="318"/>
      <c r="J7" s="318"/>
      <c r="K7" s="318"/>
      <c r="L7" s="318" t="s">
        <v>187</v>
      </c>
      <c r="M7" s="318"/>
      <c r="N7" s="318"/>
      <c r="O7" s="318"/>
      <c r="P7" s="319" t="s">
        <v>192</v>
      </c>
      <c r="Q7" s="320"/>
      <c r="R7" s="320"/>
      <c r="S7" s="320"/>
      <c r="T7" s="320"/>
      <c r="U7" s="320"/>
      <c r="V7" s="320"/>
      <c r="W7" s="320"/>
      <c r="X7" s="321"/>
      <c r="Y7" s="332" t="s">
        <v>152</v>
      </c>
      <c r="Z7" s="324" t="s">
        <v>153</v>
      </c>
      <c r="AA7" s="324" t="s">
        <v>207</v>
      </c>
    </row>
    <row r="8" spans="2:27">
      <c r="B8" s="307"/>
      <c r="C8" s="330"/>
      <c r="D8" s="327" t="s">
        <v>154</v>
      </c>
      <c r="E8" s="327" t="s">
        <v>155</v>
      </c>
      <c r="F8" s="324" t="s">
        <v>156</v>
      </c>
      <c r="G8" s="327" t="s">
        <v>157</v>
      </c>
      <c r="H8" s="327" t="s">
        <v>154</v>
      </c>
      <c r="I8" s="327" t="s">
        <v>155</v>
      </c>
      <c r="J8" s="324" t="s">
        <v>156</v>
      </c>
      <c r="K8" s="327" t="s">
        <v>157</v>
      </c>
      <c r="L8" s="327" t="s">
        <v>154</v>
      </c>
      <c r="M8" s="327" t="s">
        <v>155</v>
      </c>
      <c r="N8" s="324" t="s">
        <v>156</v>
      </c>
      <c r="O8" s="327" t="s">
        <v>157</v>
      </c>
      <c r="P8" s="315" t="s">
        <v>172</v>
      </c>
      <c r="Q8" s="316"/>
      <c r="R8" s="317"/>
      <c r="S8" s="315" t="s">
        <v>158</v>
      </c>
      <c r="T8" s="316"/>
      <c r="U8" s="317"/>
      <c r="V8" s="315" t="s">
        <v>159</v>
      </c>
      <c r="W8" s="316"/>
      <c r="X8" s="317"/>
      <c r="Y8" s="333"/>
      <c r="Z8" s="325"/>
      <c r="AA8" s="325"/>
    </row>
    <row r="9" spans="2:27">
      <c r="B9" s="308"/>
      <c r="C9" s="331"/>
      <c r="D9" s="328"/>
      <c r="E9" s="328"/>
      <c r="F9" s="326"/>
      <c r="G9" s="328"/>
      <c r="H9" s="328"/>
      <c r="I9" s="328"/>
      <c r="J9" s="326"/>
      <c r="K9" s="328"/>
      <c r="L9" s="328"/>
      <c r="M9" s="328"/>
      <c r="N9" s="326"/>
      <c r="O9" s="328"/>
      <c r="P9" s="128" t="s">
        <v>190</v>
      </c>
      <c r="Q9" s="128" t="s">
        <v>189</v>
      </c>
      <c r="R9" s="128" t="s">
        <v>191</v>
      </c>
      <c r="S9" s="128" t="s">
        <v>190</v>
      </c>
      <c r="T9" s="128" t="s">
        <v>189</v>
      </c>
      <c r="U9" s="128" t="s">
        <v>191</v>
      </c>
      <c r="V9" s="128" t="s">
        <v>190</v>
      </c>
      <c r="W9" s="128" t="s">
        <v>189</v>
      </c>
      <c r="X9" s="128" t="s">
        <v>191</v>
      </c>
      <c r="Y9" s="334"/>
      <c r="Z9" s="326"/>
      <c r="AA9" s="326"/>
    </row>
    <row r="10" spans="2:27" ht="23.1" customHeight="1">
      <c r="B10" s="111">
        <f>IFERROR(IF(Arrear!B22="","",IF(Arrear!B22=0,"",Arrear!B22)),"")</f>
        <v>1</v>
      </c>
      <c r="C10" s="113">
        <f>IFERROR(IF(Arrear!C22="","",IF(Arrear!C22=0,"",Arrear!C22)),"")</f>
        <v>45047</v>
      </c>
      <c r="D10" s="111">
        <f>IFERROR(IF(Arrear!D22="","",IF(Arrear!D22=0,"",Arrear!D22)),"")</f>
        <v>43503</v>
      </c>
      <c r="E10" s="111">
        <f>IFERROR(IF(Arrear!E22="","",IF(Arrear!E22=0,"",Arrear!E22)),"")</f>
        <v>18271</v>
      </c>
      <c r="F10" s="111">
        <f>IFERROR(IF(Arrear!F22="","",IF(Arrear!F22=0,"",Arrear!F22)),"")</f>
        <v>3915</v>
      </c>
      <c r="G10" s="177">
        <f>IFERROR(IF(E10="","",IF(D10="","",SUM(D10:F10))),"")</f>
        <v>65689</v>
      </c>
      <c r="H10" s="111">
        <f>IFERROR(IF(Arrear!H22="","",IF(Arrear!H22=0,"",Arrear!H22)),"")</f>
        <v>42368</v>
      </c>
      <c r="I10" s="111">
        <f>IFERROR(IF(Arrear!I22="","",IF(Arrear!I22=0,"",Arrear!I22)),"")</f>
        <v>17795</v>
      </c>
      <c r="J10" s="111">
        <f>IFERROR(IF(Arrear!J22="","",IF(Arrear!J22=0,"",Arrear!J22)),"")</f>
        <v>3813</v>
      </c>
      <c r="K10" s="177">
        <f>IFERROR(IF(H10="","",IF(I10="","",SUM(H10:J10))),"")</f>
        <v>63976</v>
      </c>
      <c r="L10" s="111">
        <f>IFERROR(IF(Arrear!L22="","",IF(Arrear!L22=0,"",Arrear!L22)),"")</f>
        <v>1135</v>
      </c>
      <c r="M10" s="111">
        <f>IFERROR(IF(Arrear!M22="","",IF(Arrear!M22=0,"",Arrear!M22)),"")</f>
        <v>476</v>
      </c>
      <c r="N10" s="111">
        <f>IFERROR(IF(Arrear!N22="","",IF(Arrear!N22=0,"",Arrear!N22)),"")</f>
        <v>102</v>
      </c>
      <c r="O10" s="177">
        <f>IFERROR(IF(L10="","",IF(M10="","",SUM(L10:N10))),"")</f>
        <v>1713</v>
      </c>
      <c r="P10" s="111" t="str">
        <f>IFERROR(IF(Arrear!P22="","",Arrear!P22),"")</f>
        <v/>
      </c>
      <c r="Q10" s="111" t="str">
        <f>IFERROR(IF(Arrear!Q22="","",Arrear!Q22),"")</f>
        <v/>
      </c>
      <c r="R10" s="177" t="str">
        <f>IFERROR(IF(AND(P10="",Q10=""),"",IF(P10="",Q10,IF(Q10="",P10,SUM(P10-Q10)))),"")</f>
        <v/>
      </c>
      <c r="S10" s="111">
        <f>IFERROR(IF(Arrear!S22="","",Arrear!S22),"")</f>
        <v>875</v>
      </c>
      <c r="T10" s="111">
        <f>IFERROR(IF(Arrear!T22="","",Arrear!T22),"")</f>
        <v>875</v>
      </c>
      <c r="U10" s="177">
        <f>IFERROR(IF(AND(S10="",T10=""),"",IF(S10="",T10,IF(T10="",S10,SUM(S10-T10)))),"")</f>
        <v>0</v>
      </c>
      <c r="V10" s="111">
        <f>IFERROR(IF(Arrear!V22="","",Arrear!V22),"")</f>
        <v>171</v>
      </c>
      <c r="W10" s="111" t="str">
        <f>IFERROR(IF(Arrear!W22="","",Arrear!W22),"")</f>
        <v/>
      </c>
      <c r="X10" s="177">
        <f>IFERROR(IF(AND(V10="",W10=""),"",IF(V10="",W10,IF(W10="",V10,SUM(V10-W10)))),"")</f>
        <v>171</v>
      </c>
      <c r="Y10" s="126">
        <f>IFERROR(IF(AND(R10="",U10="",X10=""),"",SUM(R10,U10,X10)),"")</f>
        <v>171</v>
      </c>
      <c r="Z10" s="125">
        <f>IFERROR(IF(AND(O10="",Y10=""),"",IF(O10="",Y10,IF(Y10="",O10,SUM(O10-Y10)))),"")</f>
        <v>1542</v>
      </c>
      <c r="AA10" s="178" t="s">
        <v>208</v>
      </c>
    </row>
    <row r="11" spans="2:27" ht="23.1" customHeight="1">
      <c r="B11" s="111">
        <f>IFERROR(IF(Arrear!B23="","",IF(Arrear!B23=0,"",Arrear!B23)),"")</f>
        <v>2</v>
      </c>
      <c r="C11" s="113">
        <f>IFERROR(IF(Arrear!C23="","",IF(Arrear!C23=0,"",Arrear!C23)),"")</f>
        <v>45078</v>
      </c>
      <c r="D11" s="111">
        <f>IFERROR(IF(Arrear!D23="","",IF(Arrear!D23=0,"",Arrear!D23)),"")</f>
        <v>61300</v>
      </c>
      <c r="E11" s="111">
        <f>IFERROR(IF(Arrear!E23="","",IF(Arrear!E23=0,"",Arrear!E23)),"")</f>
        <v>25746</v>
      </c>
      <c r="F11" s="111">
        <f>IFERROR(IF(Arrear!F23="","",IF(Arrear!F23=0,"",Arrear!F23)),"")</f>
        <v>5517</v>
      </c>
      <c r="G11" s="177">
        <f t="shared" ref="G11:G17" si="0">IFERROR(IF(E11="","",IF(D11="","",SUM(D11:F11))),"")</f>
        <v>92563</v>
      </c>
      <c r="H11" s="111">
        <f>IFERROR(IF(Arrear!H23="","",IF(Arrear!H23=0,"",Arrear!H23)),"")</f>
        <v>59700</v>
      </c>
      <c r="I11" s="111">
        <f>IFERROR(IF(Arrear!I23="","",IF(Arrear!I23=0,"",Arrear!I23)),"")</f>
        <v>25074</v>
      </c>
      <c r="J11" s="111">
        <f>IFERROR(IF(Arrear!J23="","",IF(Arrear!J23=0,"",Arrear!J23)),"")</f>
        <v>5373</v>
      </c>
      <c r="K11" s="177">
        <f t="shared" ref="K11:K17" si="1">IFERROR(IF(H11="","",IF(I11="","",SUM(H11:J11))),"")</f>
        <v>90147</v>
      </c>
      <c r="L11" s="111">
        <f>IFERROR(IF(Arrear!L23="","",IF(Arrear!L23=0,"",Arrear!L23)),"")</f>
        <v>1600</v>
      </c>
      <c r="M11" s="111">
        <f>IFERROR(IF(Arrear!M23="","",IF(Arrear!M23=0,"",Arrear!M23)),"")</f>
        <v>672</v>
      </c>
      <c r="N11" s="111">
        <f>IFERROR(IF(Arrear!N23="","",IF(Arrear!N23=0,"",Arrear!N23)),"")</f>
        <v>144</v>
      </c>
      <c r="O11" s="177">
        <f t="shared" ref="O11:O17" si="2">IFERROR(IF(L11="","",IF(M11="","",SUM(L11:N11))),"")</f>
        <v>2416</v>
      </c>
      <c r="P11" s="111" t="str">
        <f>IFERROR(IF(Arrear!P23="","",Arrear!P23),"")</f>
        <v/>
      </c>
      <c r="Q11" s="111" t="str">
        <f>IFERROR(IF(Arrear!Q23="","",Arrear!Q23),"")</f>
        <v/>
      </c>
      <c r="R11" s="177" t="str">
        <f t="shared" ref="R11:R17" si="3">IFERROR(IF(AND(P11="",Q11=""),"",IF(P11="",Q11,IF(Q11="",P11,SUM(P11-Q11)))),"")</f>
        <v/>
      </c>
      <c r="S11" s="111">
        <f>IFERROR(IF(Arrear!S23="","",Arrear!S23),"")</f>
        <v>875</v>
      </c>
      <c r="T11" s="111">
        <f>IFERROR(IF(Arrear!T23="","",Arrear!T23),"")</f>
        <v>875</v>
      </c>
      <c r="U11" s="177">
        <f t="shared" ref="U11:U17" si="4">IFERROR(IF(AND(S11="",T11=""),"",IF(S11="",T11,IF(T11="",S11,SUM(S11-T11)))),"")</f>
        <v>0</v>
      </c>
      <c r="V11" s="111">
        <f>IFERROR(IF(Arrear!V23="","",Arrear!V23),"")</f>
        <v>242</v>
      </c>
      <c r="W11" s="111" t="str">
        <f>IFERROR(IF(Arrear!W23="","",Arrear!W23),"")</f>
        <v/>
      </c>
      <c r="X11" s="177">
        <f t="shared" ref="X11:X17" si="5">IFERROR(IF(AND(V11="",W11=""),"",IF(V11="",W11,IF(W11="",V11,SUM(V11-W11)))),"")</f>
        <v>242</v>
      </c>
      <c r="Y11" s="126">
        <f t="shared" ref="Y11:Y17" si="6">IFERROR(IF(AND(R11="",U11="",X11=""),"",SUM(R11,U11,X11)),"")</f>
        <v>242</v>
      </c>
      <c r="Z11" s="125">
        <f t="shared" ref="Z11:Z17" si="7">IFERROR(IF(AND(O11="",Y11=""),"",IF(O11="",Y11,IF(Y11="",O11,SUM(O11-Y11)))),"")</f>
        <v>2174</v>
      </c>
      <c r="AA11" s="178" t="s">
        <v>209</v>
      </c>
    </row>
    <row r="12" spans="2:27" ht="23.1" customHeight="1">
      <c r="B12" s="111">
        <f>IFERROR(IF(Arrear!B24="","",IF(Arrear!B24=0,"",Arrear!B24)),"")</f>
        <v>3</v>
      </c>
      <c r="C12" s="113">
        <f>IFERROR(IF(Arrear!C24="","",IF(Arrear!C24=0,"",Arrear!C24)),"")</f>
        <v>45108</v>
      </c>
      <c r="D12" s="111">
        <f>IFERROR(IF(Arrear!D24="","",IF(Arrear!D24=0,"",Arrear!D24)),"")</f>
        <v>63100</v>
      </c>
      <c r="E12" s="111">
        <f>IFERROR(IF(Arrear!E24="","",IF(Arrear!E24=0,"",Arrear!E24)),"")</f>
        <v>29026</v>
      </c>
      <c r="F12" s="111">
        <f>IFERROR(IF(Arrear!F24="","",IF(Arrear!F24=0,"",Arrear!F24)),"")</f>
        <v>5679</v>
      </c>
      <c r="G12" s="177">
        <f t="shared" si="0"/>
        <v>97805</v>
      </c>
      <c r="H12" s="111">
        <f>IFERROR(IF(Arrear!H24="","",IF(Arrear!H24=0,"",Arrear!H24)),"")</f>
        <v>61500</v>
      </c>
      <c r="I12" s="111">
        <f>IFERROR(IF(Arrear!I24="","",IF(Arrear!I24=0,"",Arrear!I24)),"")</f>
        <v>28290</v>
      </c>
      <c r="J12" s="111">
        <f>IFERROR(IF(Arrear!J24="","",IF(Arrear!J24=0,"",Arrear!J24)),"")</f>
        <v>5535</v>
      </c>
      <c r="K12" s="177">
        <f t="shared" si="1"/>
        <v>95325</v>
      </c>
      <c r="L12" s="111">
        <f>IFERROR(IF(Arrear!L24="","",IF(Arrear!L24=0,"",Arrear!L24)),"")</f>
        <v>1600</v>
      </c>
      <c r="M12" s="111">
        <f>IFERROR(IF(Arrear!M24="","",IF(Arrear!M24=0,"",Arrear!M24)),"")</f>
        <v>736</v>
      </c>
      <c r="N12" s="111">
        <f>IFERROR(IF(Arrear!N24="","",IF(Arrear!N24=0,"",Arrear!N24)),"")</f>
        <v>144</v>
      </c>
      <c r="O12" s="177">
        <f t="shared" si="2"/>
        <v>2480</v>
      </c>
      <c r="P12" s="111">
        <f>IFERROR(IF(Arrear!P24="","",Arrear!P24),"")</f>
        <v>2524</v>
      </c>
      <c r="Q12" s="111">
        <f>IFERROR(IF(Arrear!Q24="","",Arrear!Q24),"")</f>
        <v>2460</v>
      </c>
      <c r="R12" s="177">
        <f t="shared" si="3"/>
        <v>64</v>
      </c>
      <c r="S12" s="111">
        <f>IFERROR(IF(Arrear!S24="","",Arrear!S24),"")</f>
        <v>875</v>
      </c>
      <c r="T12" s="111">
        <f>IFERROR(IF(Arrear!T24="","",Arrear!T24),"")</f>
        <v>875</v>
      </c>
      <c r="U12" s="177">
        <f t="shared" si="4"/>
        <v>0</v>
      </c>
      <c r="V12" s="111">
        <f>IFERROR(IF(Arrear!V24="","",Arrear!V24),"")</f>
        <v>248</v>
      </c>
      <c r="W12" s="111" t="str">
        <f>IFERROR(IF(Arrear!W24="","",Arrear!W24),"")</f>
        <v/>
      </c>
      <c r="X12" s="177">
        <f t="shared" si="5"/>
        <v>248</v>
      </c>
      <c r="Y12" s="126">
        <f t="shared" si="6"/>
        <v>312</v>
      </c>
      <c r="Z12" s="125">
        <f t="shared" si="7"/>
        <v>2168</v>
      </c>
      <c r="AA12" s="178" t="s">
        <v>210</v>
      </c>
    </row>
    <row r="13" spans="2:27" ht="23.1" customHeight="1">
      <c r="B13" s="111">
        <f>IFERROR(IF(Arrear!B25="","",IF(Arrear!B25=0,"",Arrear!B25)),"")</f>
        <v>4</v>
      </c>
      <c r="C13" s="113">
        <f>IFERROR(IF(Arrear!C25="","",IF(Arrear!C25=0,"",Arrear!C25)),"")</f>
        <v>45139</v>
      </c>
      <c r="D13" s="111">
        <f>IFERROR(IF(Arrear!D25="","",IF(Arrear!D25=0,"",Arrear!D25)),"")</f>
        <v>63100</v>
      </c>
      <c r="E13" s="111">
        <f>IFERROR(IF(Arrear!E25="","",IF(Arrear!E25=0,"",Arrear!E25)),"")</f>
        <v>29026</v>
      </c>
      <c r="F13" s="111">
        <f>IFERROR(IF(Arrear!F25="","",IF(Arrear!F25=0,"",Arrear!F25)),"")</f>
        <v>5679</v>
      </c>
      <c r="G13" s="177">
        <f t="shared" si="0"/>
        <v>97805</v>
      </c>
      <c r="H13" s="111">
        <f>IFERROR(IF(Arrear!H25="","",IF(Arrear!H25=0,"",Arrear!H25)),"")</f>
        <v>61500</v>
      </c>
      <c r="I13" s="111">
        <f>IFERROR(IF(Arrear!I25="","",IF(Arrear!I25=0,"",Arrear!I25)),"")</f>
        <v>28290</v>
      </c>
      <c r="J13" s="111">
        <f>IFERROR(IF(Arrear!J25="","",IF(Arrear!J25=0,"",Arrear!J25)),"")</f>
        <v>5535</v>
      </c>
      <c r="K13" s="177">
        <f t="shared" si="1"/>
        <v>95325</v>
      </c>
      <c r="L13" s="111">
        <f>IFERROR(IF(Arrear!L25="","",IF(Arrear!L25=0,"",Arrear!L25)),"")</f>
        <v>1600</v>
      </c>
      <c r="M13" s="111">
        <f>IFERROR(IF(Arrear!M25="","",IF(Arrear!M25=0,"",Arrear!M25)),"")</f>
        <v>736</v>
      </c>
      <c r="N13" s="111">
        <f>IFERROR(IF(Arrear!N25="","",IF(Arrear!N25=0,"",Arrear!N25)),"")</f>
        <v>144</v>
      </c>
      <c r="O13" s="177">
        <f t="shared" si="2"/>
        <v>2480</v>
      </c>
      <c r="P13" s="111">
        <f>IFERROR(IF(Arrear!P25="","",Arrear!P25),"")</f>
        <v>2524</v>
      </c>
      <c r="Q13" s="111">
        <f>IFERROR(IF(Arrear!Q25="","",Arrear!Q25),"")</f>
        <v>2460</v>
      </c>
      <c r="R13" s="177">
        <f t="shared" si="3"/>
        <v>64</v>
      </c>
      <c r="S13" s="111">
        <f>IFERROR(IF(Arrear!S25="","",Arrear!S25),"")</f>
        <v>875</v>
      </c>
      <c r="T13" s="111">
        <f>IFERROR(IF(Arrear!T25="","",Arrear!T25),"")</f>
        <v>875</v>
      </c>
      <c r="U13" s="177">
        <f t="shared" si="4"/>
        <v>0</v>
      </c>
      <c r="V13" s="111">
        <f>IFERROR(IF(Arrear!V25="","",Arrear!V25),"")</f>
        <v>248</v>
      </c>
      <c r="W13" s="111" t="str">
        <f>IFERROR(IF(Arrear!W25="","",Arrear!W25),"")</f>
        <v/>
      </c>
      <c r="X13" s="177">
        <f t="shared" si="5"/>
        <v>248</v>
      </c>
      <c r="Y13" s="126">
        <f t="shared" si="6"/>
        <v>312</v>
      </c>
      <c r="Z13" s="125">
        <f t="shared" si="7"/>
        <v>2168</v>
      </c>
      <c r="AA13" s="178" t="s">
        <v>211</v>
      </c>
    </row>
    <row r="14" spans="2:27" ht="23.1" customHeight="1">
      <c r="B14" s="111">
        <f>IFERROR(IF(Arrear!B26="","",IF(Arrear!B26=0,"",Arrear!B26)),"")</f>
        <v>5</v>
      </c>
      <c r="C14" s="113">
        <f>IFERROR(IF(Arrear!C26="","",IF(Arrear!C26=0,"",Arrear!C26)),"")</f>
        <v>45170</v>
      </c>
      <c r="D14" s="111">
        <f>IFERROR(IF(Arrear!D26="","",IF(Arrear!D26=0,"",Arrear!D26)),"")</f>
        <v>63100</v>
      </c>
      <c r="E14" s="111">
        <f>IFERROR(IF(Arrear!E26="","",IF(Arrear!E26=0,"",Arrear!E26)),"")</f>
        <v>29026</v>
      </c>
      <c r="F14" s="111">
        <f>IFERROR(IF(Arrear!F26="","",IF(Arrear!F26=0,"",Arrear!F26)),"")</f>
        <v>5679</v>
      </c>
      <c r="G14" s="177">
        <f t="shared" si="0"/>
        <v>97805</v>
      </c>
      <c r="H14" s="111">
        <f>IFERROR(IF(Arrear!H26="","",IF(Arrear!H26=0,"",Arrear!H26)),"")</f>
        <v>61500</v>
      </c>
      <c r="I14" s="111">
        <f>IFERROR(IF(Arrear!I26="","",IF(Arrear!I26=0,"",Arrear!I26)),"")</f>
        <v>28290</v>
      </c>
      <c r="J14" s="111">
        <f>IFERROR(IF(Arrear!J26="","",IF(Arrear!J26=0,"",Arrear!J26)),"")</f>
        <v>5535</v>
      </c>
      <c r="K14" s="177">
        <f t="shared" si="1"/>
        <v>95325</v>
      </c>
      <c r="L14" s="111">
        <f>IFERROR(IF(Arrear!L26="","",IF(Arrear!L26=0,"",Arrear!L26)),"")</f>
        <v>1600</v>
      </c>
      <c r="M14" s="111">
        <f>IFERROR(IF(Arrear!M26="","",IF(Arrear!M26=0,"",Arrear!M26)),"")</f>
        <v>736</v>
      </c>
      <c r="N14" s="111">
        <f>IFERROR(IF(Arrear!N26="","",IF(Arrear!N26=0,"",Arrear!N26)),"")</f>
        <v>144</v>
      </c>
      <c r="O14" s="177">
        <f t="shared" si="2"/>
        <v>2480</v>
      </c>
      <c r="P14" s="111">
        <f>IFERROR(IF(Arrear!P26="","",Arrear!P26),"")</f>
        <v>2524</v>
      </c>
      <c r="Q14" s="111">
        <f>IFERROR(IF(Arrear!Q26="","",Arrear!Q26),"")</f>
        <v>2460</v>
      </c>
      <c r="R14" s="177">
        <f t="shared" si="3"/>
        <v>64</v>
      </c>
      <c r="S14" s="111">
        <f>IFERROR(IF(Arrear!S26="","",Arrear!S26),"")</f>
        <v>875</v>
      </c>
      <c r="T14" s="111">
        <f>IFERROR(IF(Arrear!T26="","",Arrear!T26),"")</f>
        <v>875</v>
      </c>
      <c r="U14" s="177">
        <f t="shared" si="4"/>
        <v>0</v>
      </c>
      <c r="V14" s="111">
        <f>IFERROR(IF(Arrear!V26="","",Arrear!V26),"")</f>
        <v>248</v>
      </c>
      <c r="W14" s="111" t="str">
        <f>IFERROR(IF(Arrear!W26="","",Arrear!W26),"")</f>
        <v/>
      </c>
      <c r="X14" s="177">
        <f t="shared" si="5"/>
        <v>248</v>
      </c>
      <c r="Y14" s="126">
        <f t="shared" si="6"/>
        <v>312</v>
      </c>
      <c r="Z14" s="125">
        <f t="shared" si="7"/>
        <v>2168</v>
      </c>
      <c r="AA14" s="178" t="s">
        <v>212</v>
      </c>
    </row>
    <row r="15" spans="2:27" ht="23.1" customHeight="1">
      <c r="B15" s="111">
        <f>IFERROR(IF(Arrear!B27="","",IF(Arrear!B27=0,"",Arrear!B27)),"")</f>
        <v>6</v>
      </c>
      <c r="C15" s="113">
        <f>IFERROR(IF(Arrear!C27="","",IF(Arrear!C27=0,"",Arrear!C27)),"")</f>
        <v>45200</v>
      </c>
      <c r="D15" s="111">
        <f>IFERROR(IF(Arrear!D27="","",IF(Arrear!D27=0,"",Arrear!D27)),"")</f>
        <v>63100</v>
      </c>
      <c r="E15" s="111">
        <f>IFERROR(IF(Arrear!E27="","",IF(Arrear!E27=0,"",Arrear!E27)),"")</f>
        <v>29026</v>
      </c>
      <c r="F15" s="111">
        <f>IFERROR(IF(Arrear!F27="","",IF(Arrear!F27=0,"",Arrear!F27)),"")</f>
        <v>5679</v>
      </c>
      <c r="G15" s="177">
        <f t="shared" si="0"/>
        <v>97805</v>
      </c>
      <c r="H15" s="111">
        <f>IFERROR(IF(Arrear!H27="","",IF(Arrear!H27=0,"",Arrear!H27)),"")</f>
        <v>61500</v>
      </c>
      <c r="I15" s="111">
        <f>IFERROR(IF(Arrear!I27="","",IF(Arrear!I27=0,"",Arrear!I27)),"")</f>
        <v>28290</v>
      </c>
      <c r="J15" s="111">
        <f>IFERROR(IF(Arrear!J27="","",IF(Arrear!J27=0,"",Arrear!J27)),"")</f>
        <v>5535</v>
      </c>
      <c r="K15" s="177">
        <f t="shared" si="1"/>
        <v>95325</v>
      </c>
      <c r="L15" s="111">
        <f>IFERROR(IF(Arrear!L27="","",IF(Arrear!L27=0,"",Arrear!L27)),"")</f>
        <v>1600</v>
      </c>
      <c r="M15" s="111">
        <f>IFERROR(IF(Arrear!M27="","",IF(Arrear!M27=0,"",Arrear!M27)),"")</f>
        <v>736</v>
      </c>
      <c r="N15" s="111">
        <f>IFERROR(IF(Arrear!N27="","",IF(Arrear!N27=0,"",Arrear!N27)),"")</f>
        <v>144</v>
      </c>
      <c r="O15" s="177">
        <f t="shared" si="2"/>
        <v>2480</v>
      </c>
      <c r="P15" s="111">
        <f>IFERROR(IF(Arrear!P27="","",Arrear!P27),"")</f>
        <v>2524</v>
      </c>
      <c r="Q15" s="111">
        <f>IFERROR(IF(Arrear!Q27="","",Arrear!Q27),"")</f>
        <v>2460</v>
      </c>
      <c r="R15" s="177">
        <f t="shared" si="3"/>
        <v>64</v>
      </c>
      <c r="S15" s="111">
        <f>IFERROR(IF(Arrear!S27="","",Arrear!S27),"")</f>
        <v>875</v>
      </c>
      <c r="T15" s="111">
        <f>IFERROR(IF(Arrear!T27="","",Arrear!T27),"")</f>
        <v>875</v>
      </c>
      <c r="U15" s="177">
        <f t="shared" si="4"/>
        <v>0</v>
      </c>
      <c r="V15" s="111">
        <f>IFERROR(IF(Arrear!V27="","",Arrear!V27),"")</f>
        <v>248</v>
      </c>
      <c r="W15" s="111" t="str">
        <f>IFERROR(IF(Arrear!W27="","",Arrear!W27),"")</f>
        <v/>
      </c>
      <c r="X15" s="177">
        <f t="shared" si="5"/>
        <v>248</v>
      </c>
      <c r="Y15" s="126">
        <f t="shared" si="6"/>
        <v>312</v>
      </c>
      <c r="Z15" s="125">
        <f t="shared" si="7"/>
        <v>2168</v>
      </c>
      <c r="AA15" s="178" t="s">
        <v>213</v>
      </c>
    </row>
    <row r="16" spans="2:27" ht="23.1" customHeight="1">
      <c r="B16" s="111">
        <f>IFERROR(IF(Arrear!B28="","",IF(Arrear!B28=0,"",Arrear!B28)),"")</f>
        <v>7</v>
      </c>
      <c r="C16" s="113">
        <f>IFERROR(IF(Arrear!C28="","",IF(Arrear!C28=0,"",Arrear!C28)),"")</f>
        <v>45231</v>
      </c>
      <c r="D16" s="111">
        <f>IFERROR(IF(Arrear!D28="","",IF(Arrear!D28=0,"",Arrear!D28)),"")</f>
        <v>63100</v>
      </c>
      <c r="E16" s="111">
        <f>IFERROR(IF(Arrear!E28="","",IF(Arrear!E28=0,"",Arrear!E28)),"")</f>
        <v>29026</v>
      </c>
      <c r="F16" s="111">
        <f>IFERROR(IF(Arrear!F28="","",IF(Arrear!F28=0,"",Arrear!F28)),"")</f>
        <v>5679</v>
      </c>
      <c r="G16" s="177">
        <f t="shared" si="0"/>
        <v>97805</v>
      </c>
      <c r="H16" s="111">
        <f>IFERROR(IF(Arrear!H28="","",IF(Arrear!H28=0,"",Arrear!H28)),"")</f>
        <v>61500</v>
      </c>
      <c r="I16" s="111">
        <f>IFERROR(IF(Arrear!I28="","",IF(Arrear!I28=0,"",Arrear!I28)),"")</f>
        <v>28290</v>
      </c>
      <c r="J16" s="111">
        <f>IFERROR(IF(Arrear!J28="","",IF(Arrear!J28=0,"",Arrear!J28)),"")</f>
        <v>5535</v>
      </c>
      <c r="K16" s="177">
        <f t="shared" si="1"/>
        <v>95325</v>
      </c>
      <c r="L16" s="111">
        <f>IFERROR(IF(Arrear!L28="","",IF(Arrear!L28=0,"",Arrear!L28)),"")</f>
        <v>1600</v>
      </c>
      <c r="M16" s="111">
        <f>IFERROR(IF(Arrear!M28="","",IF(Arrear!M28=0,"",Arrear!M28)),"")</f>
        <v>736</v>
      </c>
      <c r="N16" s="111">
        <f>IFERROR(IF(Arrear!N28="","",IF(Arrear!N28=0,"",Arrear!N28)),"")</f>
        <v>144</v>
      </c>
      <c r="O16" s="177">
        <f t="shared" si="2"/>
        <v>2480</v>
      </c>
      <c r="P16" s="111" t="str">
        <f>IFERROR(IF(Arrear!P28="","",Arrear!P28),"")</f>
        <v/>
      </c>
      <c r="Q16" s="111" t="str">
        <f>IFERROR(IF(Arrear!Q28="","",Arrear!Q28),"")</f>
        <v/>
      </c>
      <c r="R16" s="177" t="str">
        <f t="shared" si="3"/>
        <v/>
      </c>
      <c r="S16" s="111">
        <f>IFERROR(IF(Arrear!S28="","",Arrear!S28),"")</f>
        <v>875</v>
      </c>
      <c r="T16" s="111">
        <f>IFERROR(IF(Arrear!T28="","",Arrear!T28),"")</f>
        <v>875</v>
      </c>
      <c r="U16" s="177">
        <f t="shared" si="4"/>
        <v>0</v>
      </c>
      <c r="V16" s="111">
        <f>IFERROR(IF(Arrear!V28="","",Arrear!V28),"")</f>
        <v>248</v>
      </c>
      <c r="W16" s="111" t="str">
        <f>IFERROR(IF(Arrear!W28="","",Arrear!W28),"")</f>
        <v/>
      </c>
      <c r="X16" s="177">
        <f t="shared" si="5"/>
        <v>248</v>
      </c>
      <c r="Y16" s="126">
        <f t="shared" si="6"/>
        <v>248</v>
      </c>
      <c r="Z16" s="125">
        <f t="shared" si="7"/>
        <v>2232</v>
      </c>
      <c r="AA16" s="178" t="s">
        <v>214</v>
      </c>
    </row>
    <row r="17" spans="2:27" ht="23.1" customHeight="1">
      <c r="B17" s="111">
        <f>IFERROR(IF(Arrear!B29="","",IF(Arrear!B29=0,"",Arrear!B29)),"")</f>
        <v>8</v>
      </c>
      <c r="C17" s="113">
        <f>IFERROR(IF(Arrear!C29="","",IF(Arrear!C29=0,"",Arrear!C29)),"")</f>
        <v>45261</v>
      </c>
      <c r="D17" s="111">
        <f>IFERROR(IF(Arrear!D29="","",IF(Arrear!D29=0,"",Arrear!D29)),"")</f>
        <v>63100</v>
      </c>
      <c r="E17" s="111">
        <f>IFERROR(IF(Arrear!E29="","",IF(Arrear!E29=0,"",Arrear!E29)),"")</f>
        <v>29026</v>
      </c>
      <c r="F17" s="111">
        <f>IFERROR(IF(Arrear!F29="","",IF(Arrear!F29=0,"",Arrear!F29)),"")</f>
        <v>5679</v>
      </c>
      <c r="G17" s="177">
        <f t="shared" si="0"/>
        <v>97805</v>
      </c>
      <c r="H17" s="111">
        <f>IFERROR(IF(Arrear!H29="","",IF(Arrear!H29=0,"",Arrear!H29)),"")</f>
        <v>61500</v>
      </c>
      <c r="I17" s="111">
        <f>IFERROR(IF(Arrear!I29="","",IF(Arrear!I29=0,"",Arrear!I29)),"")</f>
        <v>28290</v>
      </c>
      <c r="J17" s="111">
        <f>IFERROR(IF(Arrear!J29="","",IF(Arrear!J29=0,"",Arrear!J29)),"")</f>
        <v>5535</v>
      </c>
      <c r="K17" s="177">
        <f t="shared" si="1"/>
        <v>95325</v>
      </c>
      <c r="L17" s="111">
        <f>IFERROR(IF(Arrear!L29="","",IF(Arrear!L29=0,"",Arrear!L29)),"")</f>
        <v>1600</v>
      </c>
      <c r="M17" s="111">
        <f>IFERROR(IF(Arrear!M29="","",IF(Arrear!M29=0,"",Arrear!M29)),"")</f>
        <v>736</v>
      </c>
      <c r="N17" s="111">
        <f>IFERROR(IF(Arrear!N29="","",IF(Arrear!N29=0,"",Arrear!N29)),"")</f>
        <v>144</v>
      </c>
      <c r="O17" s="177">
        <f t="shared" si="2"/>
        <v>2480</v>
      </c>
      <c r="P17" s="111" t="str">
        <f>IFERROR(IF(Arrear!P29="","",Arrear!P29),"")</f>
        <v/>
      </c>
      <c r="Q17" s="111" t="str">
        <f>IFERROR(IF(Arrear!Q29="","",Arrear!Q29),"")</f>
        <v/>
      </c>
      <c r="R17" s="177" t="str">
        <f t="shared" si="3"/>
        <v/>
      </c>
      <c r="S17" s="111">
        <f>IFERROR(IF(Arrear!S29="","",Arrear!S29),"")</f>
        <v>875</v>
      </c>
      <c r="T17" s="111">
        <f>IFERROR(IF(Arrear!T29="","",Arrear!T29),"")</f>
        <v>875</v>
      </c>
      <c r="U17" s="177">
        <f t="shared" si="4"/>
        <v>0</v>
      </c>
      <c r="V17" s="111">
        <f>IFERROR(IF(Arrear!V29="","",Arrear!V29),"")</f>
        <v>248</v>
      </c>
      <c r="W17" s="111" t="str">
        <f>IFERROR(IF(Arrear!W29="","",Arrear!W29),"")</f>
        <v/>
      </c>
      <c r="X17" s="177">
        <f t="shared" si="5"/>
        <v>248</v>
      </c>
      <c r="Y17" s="126">
        <f t="shared" si="6"/>
        <v>248</v>
      </c>
      <c r="Z17" s="125">
        <f t="shared" si="7"/>
        <v>2232</v>
      </c>
      <c r="AA17" s="178" t="s">
        <v>215</v>
      </c>
    </row>
    <row r="18" spans="2:27" ht="23.1" customHeight="1">
      <c r="B18" s="111">
        <f>IFERROR(IF(Arrear!B30="","",IF(Arrear!B30=0,"",Arrear!B30)),"")</f>
        <v>9</v>
      </c>
      <c r="C18" s="113">
        <f>IFERROR(IF(Arrear!C30="","",IF(Arrear!C30=0,"",Arrear!C30)),"")</f>
        <v>45292</v>
      </c>
      <c r="D18" s="111">
        <f>IFERROR(IF(Arrear!D30="","",IF(Arrear!D30=0,"",Arrear!D30)),"")</f>
        <v>63100</v>
      </c>
      <c r="E18" s="111">
        <f>IFERROR(IF(Arrear!E30="","",IF(Arrear!E30=0,"",Arrear!E30)),"")</f>
        <v>31550</v>
      </c>
      <c r="F18" s="111">
        <f>IFERROR(IF(Arrear!F30="","",IF(Arrear!F30=0,"",Arrear!F30)),"")</f>
        <v>5679</v>
      </c>
      <c r="G18" s="177">
        <f t="shared" ref="G18:G24" si="8">IFERROR(IF(E18="","",IF(D18="","",SUM(D18:F18))),"")</f>
        <v>100329</v>
      </c>
      <c r="H18" s="111">
        <f>IFERROR(IF(Arrear!H30="","",IF(Arrear!H30=0,"",Arrear!H30)),"")</f>
        <v>61500</v>
      </c>
      <c r="I18" s="111">
        <f>IFERROR(IF(Arrear!I30="","",IF(Arrear!I30=0,"",Arrear!I30)),"")</f>
        <v>30750</v>
      </c>
      <c r="J18" s="111">
        <f>IFERROR(IF(Arrear!J30="","",IF(Arrear!J30=0,"",Arrear!J30)),"")</f>
        <v>5535</v>
      </c>
      <c r="K18" s="177">
        <f t="shared" ref="K18:K24" si="9">IFERROR(IF(H18="","",IF(I18="","",SUM(H18:J18))),"")</f>
        <v>97785</v>
      </c>
      <c r="L18" s="111">
        <f>IFERROR(IF(Arrear!L30="","",IF(Arrear!L30=0,"",Arrear!L30)),"")</f>
        <v>1600</v>
      </c>
      <c r="M18" s="111">
        <f>IFERROR(IF(Arrear!M30="","",IF(Arrear!M30=0,"",Arrear!M30)),"")</f>
        <v>800</v>
      </c>
      <c r="N18" s="111">
        <f>IFERROR(IF(Arrear!N30="","",IF(Arrear!N30=0,"",Arrear!N30)),"")</f>
        <v>144</v>
      </c>
      <c r="O18" s="177">
        <f t="shared" ref="O18:O24" si="10">IFERROR(IF(L18="","",IF(M18="","",SUM(L18:N18))),"")</f>
        <v>2544</v>
      </c>
      <c r="P18" s="111">
        <f>IFERROR(IF(Arrear!P30="","",Arrear!P30),"")</f>
        <v>2524</v>
      </c>
      <c r="Q18" s="111">
        <f>IFERROR(IF(Arrear!Q30="","",Arrear!Q30),"")</f>
        <v>2460</v>
      </c>
      <c r="R18" s="177">
        <f t="shared" ref="R18:R24" si="11">IFERROR(IF(AND(P18="",Q18=""),"",IF(P18="",Q18,IF(Q18="",P18,SUM(P18-Q18)))),"")</f>
        <v>64</v>
      </c>
      <c r="S18" s="111">
        <f>IFERROR(IF(Arrear!S30="","",Arrear!S30),"")</f>
        <v>875</v>
      </c>
      <c r="T18" s="111">
        <f>IFERROR(IF(Arrear!T30="","",Arrear!T30),"")</f>
        <v>875</v>
      </c>
      <c r="U18" s="177">
        <f t="shared" ref="U18:U24" si="12">IFERROR(IF(AND(S18="",T18=""),"",IF(S18="",T18,IF(T18="",S18,SUM(S18-T18)))),"")</f>
        <v>0</v>
      </c>
      <c r="V18" s="111">
        <f>IFERROR(IF(Arrear!V30="","",Arrear!V30),"")</f>
        <v>254</v>
      </c>
      <c r="W18" s="111" t="str">
        <f>IFERROR(IF(Arrear!W30="","",Arrear!W30),"")</f>
        <v/>
      </c>
      <c r="X18" s="177">
        <f t="shared" ref="X18:X24" si="13">IFERROR(IF(AND(V18="",W18=""),"",IF(V18="",W18,IF(W18="",V18,SUM(V18-W18)))),"")</f>
        <v>254</v>
      </c>
      <c r="Y18" s="126">
        <f t="shared" ref="Y18:Y24" si="14">IFERROR(IF(AND(R18="",U18="",X18=""),"",SUM(R18,U18,X18)),"")</f>
        <v>318</v>
      </c>
      <c r="Z18" s="125">
        <f t="shared" ref="Z18:Z24" si="15">IFERROR(IF(AND(O18="",Y18=""),"",IF(O18="",Y18,IF(Y18="",O18,SUM(O18-Y18)))),"")</f>
        <v>2226</v>
      </c>
      <c r="AA18" s="178" t="s">
        <v>217</v>
      </c>
    </row>
    <row r="19" spans="2:27" ht="23.1" customHeight="1">
      <c r="B19" s="111">
        <f>IFERROR(IF(Arrear!B31="","",IF(Arrear!B31=0,"",Arrear!B31)),"")</f>
        <v>10</v>
      </c>
      <c r="C19" s="113">
        <f>IFERROR(IF(Arrear!C31="","",IF(Arrear!C31=0,"",Arrear!C31)),"")</f>
        <v>45323</v>
      </c>
      <c r="D19" s="111">
        <f>IFERROR(IF(Arrear!D31="","",IF(Arrear!D31=0,"",Arrear!D31)),"")</f>
        <v>63100</v>
      </c>
      <c r="E19" s="111">
        <f>IFERROR(IF(Arrear!E31="","",IF(Arrear!E31=0,"",Arrear!E31)),"")</f>
        <v>31550</v>
      </c>
      <c r="F19" s="111">
        <f>IFERROR(IF(Arrear!F31="","",IF(Arrear!F31=0,"",Arrear!F31)),"")</f>
        <v>5679</v>
      </c>
      <c r="G19" s="177">
        <f t="shared" si="8"/>
        <v>100329</v>
      </c>
      <c r="H19" s="111">
        <f>IFERROR(IF(Arrear!H31="","",IF(Arrear!H31=0,"",Arrear!H31)),"")</f>
        <v>61500</v>
      </c>
      <c r="I19" s="111">
        <f>IFERROR(IF(Arrear!I31="","",IF(Arrear!I31=0,"",Arrear!I31)),"")</f>
        <v>30750</v>
      </c>
      <c r="J19" s="111">
        <f>IFERROR(IF(Arrear!J31="","",IF(Arrear!J31=0,"",Arrear!J31)),"")</f>
        <v>5535</v>
      </c>
      <c r="K19" s="177">
        <f t="shared" si="9"/>
        <v>97785</v>
      </c>
      <c r="L19" s="111">
        <f>IFERROR(IF(Arrear!L31="","",IF(Arrear!L31=0,"",Arrear!L31)),"")</f>
        <v>1600</v>
      </c>
      <c r="M19" s="111">
        <f>IFERROR(IF(Arrear!M31="","",IF(Arrear!M31=0,"",Arrear!M31)),"")</f>
        <v>800</v>
      </c>
      <c r="N19" s="111">
        <f>IFERROR(IF(Arrear!N31="","",IF(Arrear!N31=0,"",Arrear!N31)),"")</f>
        <v>144</v>
      </c>
      <c r="O19" s="177">
        <f t="shared" si="10"/>
        <v>2544</v>
      </c>
      <c r="P19" s="111">
        <f>IFERROR(IF(Arrear!P31="","",Arrear!P31),"")</f>
        <v>2524</v>
      </c>
      <c r="Q19" s="111">
        <f>IFERROR(IF(Arrear!Q31="","",Arrear!Q31),"")</f>
        <v>2460</v>
      </c>
      <c r="R19" s="177">
        <f t="shared" si="11"/>
        <v>64</v>
      </c>
      <c r="S19" s="111">
        <f>IFERROR(IF(Arrear!S31="","",Arrear!S31),"")</f>
        <v>875</v>
      </c>
      <c r="T19" s="111">
        <f>IFERROR(IF(Arrear!T31="","",Arrear!T31),"")</f>
        <v>875</v>
      </c>
      <c r="U19" s="177">
        <f t="shared" si="12"/>
        <v>0</v>
      </c>
      <c r="V19" s="111">
        <f>IFERROR(IF(Arrear!V31="","",Arrear!V31),"")</f>
        <v>254</v>
      </c>
      <c r="W19" s="111" t="str">
        <f>IFERROR(IF(Arrear!W31="","",Arrear!W31),"")</f>
        <v/>
      </c>
      <c r="X19" s="177">
        <f t="shared" si="13"/>
        <v>254</v>
      </c>
      <c r="Y19" s="126">
        <f t="shared" si="14"/>
        <v>318</v>
      </c>
      <c r="Z19" s="125">
        <f t="shared" si="15"/>
        <v>2226</v>
      </c>
      <c r="AA19" s="178"/>
    </row>
    <row r="20" spans="2:27" ht="23.1" customHeight="1">
      <c r="B20" s="111">
        <f>IFERROR(IF(Arrear!B32="","",IF(Arrear!B32=0,"",Arrear!B32)),"")</f>
        <v>11</v>
      </c>
      <c r="C20" s="113">
        <f>IFERROR(IF(Arrear!C32="","",IF(Arrear!C32=0,"",Arrear!C32)),"")</f>
        <v>45352</v>
      </c>
      <c r="D20" s="111">
        <f>IFERROR(IF(Arrear!D32="","",IF(Arrear!D32=0,"",Arrear!D32)),"")</f>
        <v>63100</v>
      </c>
      <c r="E20" s="111">
        <f>IFERROR(IF(Arrear!E32="","",IF(Arrear!E32=0,"",Arrear!E32)),"")</f>
        <v>31550</v>
      </c>
      <c r="F20" s="111">
        <f>IFERROR(IF(Arrear!F32="","",IF(Arrear!F32=0,"",Arrear!F32)),"")</f>
        <v>5679</v>
      </c>
      <c r="G20" s="177">
        <f t="shared" si="8"/>
        <v>100329</v>
      </c>
      <c r="H20" s="111">
        <f>IFERROR(IF(Arrear!H32="","",IF(Arrear!H32=0,"",Arrear!H32)),"")</f>
        <v>61500</v>
      </c>
      <c r="I20" s="111">
        <f>IFERROR(IF(Arrear!I32="","",IF(Arrear!I32=0,"",Arrear!I32)),"")</f>
        <v>30750</v>
      </c>
      <c r="J20" s="111">
        <f>IFERROR(IF(Arrear!J32="","",IF(Arrear!J32=0,"",Arrear!J32)),"")</f>
        <v>5535</v>
      </c>
      <c r="K20" s="177">
        <f t="shared" si="9"/>
        <v>97785</v>
      </c>
      <c r="L20" s="111">
        <f>IFERROR(IF(Arrear!L32="","",IF(Arrear!L32=0,"",Arrear!L32)),"")</f>
        <v>1600</v>
      </c>
      <c r="M20" s="111">
        <f>IFERROR(IF(Arrear!M32="","",IF(Arrear!M32=0,"",Arrear!M32)),"")</f>
        <v>800</v>
      </c>
      <c r="N20" s="111">
        <f>IFERROR(IF(Arrear!N32="","",IF(Arrear!N32=0,"",Arrear!N32)),"")</f>
        <v>144</v>
      </c>
      <c r="O20" s="177">
        <f t="shared" si="10"/>
        <v>2544</v>
      </c>
      <c r="P20" s="111" t="str">
        <f>IFERROR(IF(Arrear!P32="","",Arrear!P32),"")</f>
        <v/>
      </c>
      <c r="Q20" s="111" t="str">
        <f>IFERROR(IF(Arrear!Q32="","",Arrear!Q32),"")</f>
        <v/>
      </c>
      <c r="R20" s="177" t="str">
        <f t="shared" si="11"/>
        <v/>
      </c>
      <c r="S20" s="111">
        <f>IFERROR(IF(Arrear!S32="","",Arrear!S32),"")</f>
        <v>875</v>
      </c>
      <c r="T20" s="111">
        <f>IFERROR(IF(Arrear!T32="","",Arrear!T32),"")</f>
        <v>875</v>
      </c>
      <c r="U20" s="177">
        <f t="shared" si="12"/>
        <v>0</v>
      </c>
      <c r="V20" s="111">
        <f>IFERROR(IF(Arrear!V32="","",Arrear!V32),"")</f>
        <v>254</v>
      </c>
      <c r="W20" s="111" t="str">
        <f>IFERROR(IF(Arrear!W32="","",Arrear!W32),"")</f>
        <v/>
      </c>
      <c r="X20" s="177">
        <f t="shared" si="13"/>
        <v>254</v>
      </c>
      <c r="Y20" s="126">
        <f t="shared" si="14"/>
        <v>254</v>
      </c>
      <c r="Z20" s="125">
        <f t="shared" si="15"/>
        <v>2290</v>
      </c>
      <c r="AA20" s="178"/>
    </row>
    <row r="21" spans="2:27" ht="23.1" customHeight="1">
      <c r="B21" s="111">
        <f>IFERROR(IF(Arrear!B33="","",IF(Arrear!B33=0,"",Arrear!B33)),"")</f>
        <v>12</v>
      </c>
      <c r="C21" s="113">
        <f>IFERROR(IF(Arrear!C33="","",IF(Arrear!C33=0,"",Arrear!C33)),"")</f>
        <v>45383</v>
      </c>
      <c r="D21" s="111">
        <f>IFERROR(IF(Arrear!D33="","",IF(Arrear!D33=0,"",Arrear!D33)),"")</f>
        <v>63100</v>
      </c>
      <c r="E21" s="111">
        <f>IFERROR(IF(Arrear!E33="","",IF(Arrear!E33=0,"",Arrear!E33)),"")</f>
        <v>31550</v>
      </c>
      <c r="F21" s="111">
        <f>IFERROR(IF(Arrear!F33="","",IF(Arrear!F33=0,"",Arrear!F33)),"")</f>
        <v>5679</v>
      </c>
      <c r="G21" s="177">
        <f t="shared" si="8"/>
        <v>100329</v>
      </c>
      <c r="H21" s="111">
        <f>IFERROR(IF(Arrear!H33="","",IF(Arrear!H33=0,"",Arrear!H33)),"")</f>
        <v>61500</v>
      </c>
      <c r="I21" s="111">
        <f>IFERROR(IF(Arrear!I33="","",IF(Arrear!I33=0,"",Arrear!I33)),"")</f>
        <v>30750</v>
      </c>
      <c r="J21" s="111">
        <f>IFERROR(IF(Arrear!J33="","",IF(Arrear!J33=0,"",Arrear!J33)),"")</f>
        <v>5535</v>
      </c>
      <c r="K21" s="177">
        <f t="shared" si="9"/>
        <v>97785</v>
      </c>
      <c r="L21" s="111">
        <f>IFERROR(IF(Arrear!L33="","",IF(Arrear!L33=0,"",Arrear!L33)),"")</f>
        <v>1600</v>
      </c>
      <c r="M21" s="111">
        <f>IFERROR(IF(Arrear!M33="","",IF(Arrear!M33=0,"",Arrear!M33)),"")</f>
        <v>800</v>
      </c>
      <c r="N21" s="111">
        <f>IFERROR(IF(Arrear!N33="","",IF(Arrear!N33=0,"",Arrear!N33)),"")</f>
        <v>144</v>
      </c>
      <c r="O21" s="177">
        <f t="shared" si="10"/>
        <v>2544</v>
      </c>
      <c r="P21" s="111" t="str">
        <f>IFERROR(IF(Arrear!P33="","",Arrear!P33),"")</f>
        <v/>
      </c>
      <c r="Q21" s="111" t="str">
        <f>IFERROR(IF(Arrear!Q33="","",Arrear!Q33),"")</f>
        <v/>
      </c>
      <c r="R21" s="177" t="str">
        <f t="shared" si="11"/>
        <v/>
      </c>
      <c r="S21" s="111">
        <f>IFERROR(IF(Arrear!S33="","",Arrear!S33),"")</f>
        <v>875</v>
      </c>
      <c r="T21" s="111">
        <f>IFERROR(IF(Arrear!T33="","",Arrear!T33),"")</f>
        <v>875</v>
      </c>
      <c r="U21" s="177">
        <f t="shared" si="12"/>
        <v>0</v>
      </c>
      <c r="V21" s="111">
        <f>IFERROR(IF(Arrear!V33="","",Arrear!V33),"")</f>
        <v>254</v>
      </c>
      <c r="W21" s="111" t="str">
        <f>IFERROR(IF(Arrear!W33="","",Arrear!W33),"")</f>
        <v/>
      </c>
      <c r="X21" s="177">
        <f t="shared" si="13"/>
        <v>254</v>
      </c>
      <c r="Y21" s="126">
        <f t="shared" si="14"/>
        <v>254</v>
      </c>
      <c r="Z21" s="125">
        <f t="shared" si="15"/>
        <v>2290</v>
      </c>
      <c r="AA21" s="178"/>
    </row>
    <row r="22" spans="2:27" ht="23.1" customHeight="1">
      <c r="B22" s="111" t="str">
        <f>IFERROR(IF(Arrear!B34="","",IF(Arrear!B34=0,"",Arrear!B34)),"")</f>
        <v/>
      </c>
      <c r="C22" s="113" t="str">
        <f>IFERROR(IF(Arrear!C34="","",IF(Arrear!C34=0,"",Arrear!C34)),"")</f>
        <v/>
      </c>
      <c r="D22" s="111" t="str">
        <f>IFERROR(IF(Arrear!D34="","",IF(Arrear!D34=0,"",Arrear!D34)),"")</f>
        <v/>
      </c>
      <c r="E22" s="111" t="str">
        <f>IFERROR(IF(Arrear!E34="","",IF(Arrear!E34=0,"",Arrear!E34)),"")</f>
        <v/>
      </c>
      <c r="F22" s="111" t="str">
        <f>IFERROR(IF(Arrear!F34="","",IF(Arrear!F34=0,"",Arrear!F34)),"")</f>
        <v/>
      </c>
      <c r="G22" s="177" t="str">
        <f t="shared" si="8"/>
        <v/>
      </c>
      <c r="H22" s="111" t="str">
        <f>IFERROR(IF(Arrear!H34="","",IF(Arrear!H34=0,"",Arrear!H34)),"")</f>
        <v/>
      </c>
      <c r="I22" s="111" t="str">
        <f>IFERROR(IF(Arrear!I34="","",IF(Arrear!I34=0,"",Arrear!I34)),"")</f>
        <v/>
      </c>
      <c r="J22" s="111" t="str">
        <f>IFERROR(IF(Arrear!J34="","",IF(Arrear!J34=0,"",Arrear!J34)),"")</f>
        <v/>
      </c>
      <c r="K22" s="177" t="str">
        <f t="shared" si="9"/>
        <v/>
      </c>
      <c r="L22" s="111" t="str">
        <f>IFERROR(IF(Arrear!L34="","",IF(Arrear!L34=0,"",Arrear!L34)),"")</f>
        <v/>
      </c>
      <c r="M22" s="111" t="str">
        <f>IFERROR(IF(Arrear!M34="","",IF(Arrear!M34=0,"",Arrear!M34)),"")</f>
        <v/>
      </c>
      <c r="N22" s="111" t="str">
        <f>IFERROR(IF(Arrear!N34="","",IF(Arrear!N34=0,"",Arrear!N34)),"")</f>
        <v/>
      </c>
      <c r="O22" s="177" t="str">
        <f t="shared" si="10"/>
        <v/>
      </c>
      <c r="P22" s="111" t="str">
        <f>IFERROR(IF(Arrear!P34="","",Arrear!P34),"")</f>
        <v/>
      </c>
      <c r="Q22" s="111" t="str">
        <f>IFERROR(IF(Arrear!Q34="","",Arrear!Q34),"")</f>
        <v/>
      </c>
      <c r="R22" s="177" t="str">
        <f t="shared" si="11"/>
        <v/>
      </c>
      <c r="S22" s="111" t="str">
        <f>IFERROR(IF(Arrear!S34="","",Arrear!S34),"")</f>
        <v/>
      </c>
      <c r="T22" s="111" t="str">
        <f>IFERROR(IF(Arrear!T34="","",Arrear!T34),"")</f>
        <v/>
      </c>
      <c r="U22" s="177" t="str">
        <f t="shared" si="12"/>
        <v/>
      </c>
      <c r="V22" s="111" t="str">
        <f>IFERROR(IF(Arrear!V34="","",Arrear!V34),"")</f>
        <v/>
      </c>
      <c r="W22" s="111" t="str">
        <f>IFERROR(IF(Arrear!W34="","",Arrear!W34),"")</f>
        <v/>
      </c>
      <c r="X22" s="177" t="str">
        <f t="shared" si="13"/>
        <v/>
      </c>
      <c r="Y22" s="126" t="str">
        <f t="shared" si="14"/>
        <v/>
      </c>
      <c r="Z22" s="125" t="str">
        <f t="shared" si="15"/>
        <v/>
      </c>
      <c r="AA22" s="178"/>
    </row>
    <row r="23" spans="2:27" ht="23.1" customHeight="1">
      <c r="B23" s="111" t="str">
        <f>IFERROR(IF(Arrear!B35="","",IF(Arrear!B35=0,"",Arrear!B35)),"")</f>
        <v/>
      </c>
      <c r="C23" s="113" t="str">
        <f>IFERROR(IF(Arrear!C35="","",IF(Arrear!C35=0,"",Arrear!C35)),"")</f>
        <v/>
      </c>
      <c r="D23" s="111" t="str">
        <f>IFERROR(IF(Arrear!D35="","",IF(Arrear!D35=0,"",Arrear!D35)),"")</f>
        <v/>
      </c>
      <c r="E23" s="111" t="str">
        <f>IFERROR(IF(Arrear!E35="","",IF(Arrear!E35=0,"",Arrear!E35)),"")</f>
        <v/>
      </c>
      <c r="F23" s="111" t="str">
        <f>IFERROR(IF(Arrear!F35="","",IF(Arrear!F35=0,"",Arrear!F35)),"")</f>
        <v/>
      </c>
      <c r="G23" s="177" t="str">
        <f t="shared" si="8"/>
        <v/>
      </c>
      <c r="H23" s="111" t="str">
        <f>IFERROR(IF(Arrear!H35="","",IF(Arrear!H35=0,"",Arrear!H35)),"")</f>
        <v/>
      </c>
      <c r="I23" s="111" t="str">
        <f>IFERROR(IF(Arrear!I35="","",IF(Arrear!I35=0,"",Arrear!I35)),"")</f>
        <v/>
      </c>
      <c r="J23" s="111" t="str">
        <f>IFERROR(IF(Arrear!J35="","",IF(Arrear!J35=0,"",Arrear!J35)),"")</f>
        <v/>
      </c>
      <c r="K23" s="177" t="str">
        <f t="shared" si="9"/>
        <v/>
      </c>
      <c r="L23" s="111" t="str">
        <f>IFERROR(IF(Arrear!L35="","",IF(Arrear!L35=0,"",Arrear!L35)),"")</f>
        <v/>
      </c>
      <c r="M23" s="111" t="str">
        <f>IFERROR(IF(Arrear!M35="","",IF(Arrear!M35=0,"",Arrear!M35)),"")</f>
        <v/>
      </c>
      <c r="N23" s="111" t="str">
        <f>IFERROR(IF(Arrear!N35="","",IF(Arrear!N35=0,"",Arrear!N35)),"")</f>
        <v/>
      </c>
      <c r="O23" s="177" t="str">
        <f t="shared" si="10"/>
        <v/>
      </c>
      <c r="P23" s="111" t="str">
        <f>IFERROR(IF(Arrear!P35="","",Arrear!P35),"")</f>
        <v/>
      </c>
      <c r="Q23" s="111" t="str">
        <f>IFERROR(IF(Arrear!Q35="","",Arrear!Q35),"")</f>
        <v/>
      </c>
      <c r="R23" s="177" t="str">
        <f t="shared" si="11"/>
        <v/>
      </c>
      <c r="S23" s="111" t="str">
        <f>IFERROR(IF(Arrear!S35="","",Arrear!S35),"")</f>
        <v/>
      </c>
      <c r="T23" s="111" t="str">
        <f>IFERROR(IF(Arrear!T35="","",Arrear!T35),"")</f>
        <v/>
      </c>
      <c r="U23" s="177" t="str">
        <f t="shared" si="12"/>
        <v/>
      </c>
      <c r="V23" s="111" t="str">
        <f>IFERROR(IF(Arrear!V35="","",Arrear!V35),"")</f>
        <v/>
      </c>
      <c r="W23" s="111" t="str">
        <f>IFERROR(IF(Arrear!W35="","",Arrear!W35),"")</f>
        <v/>
      </c>
      <c r="X23" s="177" t="str">
        <f t="shared" si="13"/>
        <v/>
      </c>
      <c r="Y23" s="126" t="str">
        <f t="shared" si="14"/>
        <v/>
      </c>
      <c r="Z23" s="125" t="str">
        <f t="shared" si="15"/>
        <v/>
      </c>
      <c r="AA23" s="178"/>
    </row>
    <row r="24" spans="2:27" ht="23.1" customHeight="1">
      <c r="B24" s="111" t="str">
        <f>IFERROR(IF(Arrear!B36="","",IF(Arrear!B36=0,"",Arrear!B36)),"")</f>
        <v/>
      </c>
      <c r="C24" s="113" t="str">
        <f>IFERROR(IF(Arrear!C36="","",IF(Arrear!C36=0,"",Arrear!C36)),"")</f>
        <v/>
      </c>
      <c r="D24" s="111" t="str">
        <f>IFERROR(IF(Arrear!D36="","",IF(Arrear!D36=0,"",Arrear!D36)),"")</f>
        <v/>
      </c>
      <c r="E24" s="111" t="str">
        <f>IFERROR(IF(Arrear!E36="","",IF(Arrear!E36=0,"",Arrear!E36)),"")</f>
        <v/>
      </c>
      <c r="F24" s="111" t="str">
        <f>IFERROR(IF(Arrear!F36="","",IF(Arrear!F36=0,"",Arrear!F36)),"")</f>
        <v/>
      </c>
      <c r="G24" s="177" t="str">
        <f t="shared" si="8"/>
        <v/>
      </c>
      <c r="H24" s="111" t="str">
        <f>IFERROR(IF(Arrear!H36="","",IF(Arrear!H36=0,"",Arrear!H36)),"")</f>
        <v/>
      </c>
      <c r="I24" s="111" t="str">
        <f>IFERROR(IF(Arrear!I36="","",IF(Arrear!I36=0,"",Arrear!I36)),"")</f>
        <v/>
      </c>
      <c r="J24" s="111" t="str">
        <f>IFERROR(IF(Arrear!J36="","",IF(Arrear!J36=0,"",Arrear!J36)),"")</f>
        <v/>
      </c>
      <c r="K24" s="177" t="str">
        <f t="shared" si="9"/>
        <v/>
      </c>
      <c r="L24" s="111" t="str">
        <f>IFERROR(IF(Arrear!L36="","",IF(Arrear!L36=0,"",Arrear!L36)),"")</f>
        <v/>
      </c>
      <c r="M24" s="111" t="str">
        <f>IFERROR(IF(Arrear!M36="","",IF(Arrear!M36=0,"",Arrear!M36)),"")</f>
        <v/>
      </c>
      <c r="N24" s="111" t="str">
        <f>IFERROR(IF(Arrear!N36="","",IF(Arrear!N36=0,"",Arrear!N36)),"")</f>
        <v/>
      </c>
      <c r="O24" s="177" t="str">
        <f t="shared" si="10"/>
        <v/>
      </c>
      <c r="P24" s="111" t="str">
        <f>IFERROR(IF(Arrear!P36="","",Arrear!P36),"")</f>
        <v/>
      </c>
      <c r="Q24" s="111" t="str">
        <f>IFERROR(IF(Arrear!Q36="","",Arrear!Q36),"")</f>
        <v/>
      </c>
      <c r="R24" s="177" t="str">
        <f t="shared" si="11"/>
        <v/>
      </c>
      <c r="S24" s="111" t="str">
        <f>IFERROR(IF(Arrear!S36="","",Arrear!S36),"")</f>
        <v/>
      </c>
      <c r="T24" s="111" t="str">
        <f>IFERROR(IF(Arrear!T36="","",Arrear!T36),"")</f>
        <v/>
      </c>
      <c r="U24" s="177" t="str">
        <f t="shared" si="12"/>
        <v/>
      </c>
      <c r="V24" s="111" t="str">
        <f>IFERROR(IF(Arrear!V36="","",Arrear!V36),"")</f>
        <v/>
      </c>
      <c r="W24" s="111" t="str">
        <f>IFERROR(IF(Arrear!W36="","",Arrear!W36),"")</f>
        <v/>
      </c>
      <c r="X24" s="177" t="str">
        <f t="shared" si="13"/>
        <v/>
      </c>
      <c r="Y24" s="126" t="str">
        <f t="shared" si="14"/>
        <v/>
      </c>
      <c r="Z24" s="125" t="str">
        <f t="shared" si="15"/>
        <v/>
      </c>
      <c r="AA24" s="178"/>
    </row>
    <row r="25" spans="2:27" ht="54.95" customHeight="1">
      <c r="B25" s="309" t="s">
        <v>157</v>
      </c>
      <c r="C25" s="309"/>
      <c r="D25" s="130">
        <f>IFERROR(IF(AND($F$4="",$M$4="",$M$3="",$Q$3="",$C$2=""),"",SUM(D10:D24)),"")</f>
        <v>735803</v>
      </c>
      <c r="E25" s="130">
        <f t="shared" ref="E25:Z25" si="16">IFERROR(IF(AND($F$4="",$M$4="",$M$3="",$Q$3="",$C$2=""),"",SUM(E10:E24)),"")</f>
        <v>344373</v>
      </c>
      <c r="F25" s="130">
        <f t="shared" si="16"/>
        <v>66222</v>
      </c>
      <c r="G25" s="130">
        <f t="shared" si="16"/>
        <v>1146398</v>
      </c>
      <c r="H25" s="130">
        <f t="shared" si="16"/>
        <v>717068</v>
      </c>
      <c r="I25" s="130">
        <f t="shared" si="16"/>
        <v>335609</v>
      </c>
      <c r="J25" s="130">
        <f t="shared" si="16"/>
        <v>64536</v>
      </c>
      <c r="K25" s="130">
        <f t="shared" si="16"/>
        <v>1117213</v>
      </c>
      <c r="L25" s="130">
        <f t="shared" si="16"/>
        <v>18735</v>
      </c>
      <c r="M25" s="130">
        <f t="shared" si="16"/>
        <v>8764</v>
      </c>
      <c r="N25" s="130">
        <f t="shared" si="16"/>
        <v>1686</v>
      </c>
      <c r="O25" s="130">
        <f t="shared" si="16"/>
        <v>29185</v>
      </c>
      <c r="P25" s="130">
        <f t="shared" si="16"/>
        <v>15144</v>
      </c>
      <c r="Q25" s="130">
        <f t="shared" si="16"/>
        <v>14760</v>
      </c>
      <c r="R25" s="130">
        <f t="shared" si="16"/>
        <v>384</v>
      </c>
      <c r="S25" s="130">
        <f t="shared" si="16"/>
        <v>10500</v>
      </c>
      <c r="T25" s="130">
        <f t="shared" si="16"/>
        <v>10500</v>
      </c>
      <c r="U25" s="130">
        <f t="shared" si="16"/>
        <v>0</v>
      </c>
      <c r="V25" s="130">
        <f t="shared" si="16"/>
        <v>2917</v>
      </c>
      <c r="W25" s="130">
        <f t="shared" si="16"/>
        <v>0</v>
      </c>
      <c r="X25" s="130">
        <f t="shared" si="16"/>
        <v>2917</v>
      </c>
      <c r="Y25" s="130">
        <f t="shared" si="16"/>
        <v>3301</v>
      </c>
      <c r="Z25" s="130">
        <f t="shared" si="16"/>
        <v>25884</v>
      </c>
      <c r="AA25" s="130"/>
    </row>
    <row r="26" spans="2:27" ht="9" customHeight="1">
      <c r="B26" s="5"/>
      <c r="C26" s="5"/>
      <c r="D26" s="5"/>
      <c r="E26" s="5"/>
      <c r="F26" s="5"/>
      <c r="G26" s="5"/>
      <c r="H26" s="5"/>
      <c r="I26" s="5"/>
      <c r="J26" s="5"/>
      <c r="K26" s="5"/>
      <c r="L26" s="5"/>
      <c r="M26" s="5"/>
      <c r="N26" s="5"/>
      <c r="O26" s="5"/>
      <c r="P26" s="5"/>
      <c r="Q26" s="5"/>
      <c r="R26" s="5"/>
      <c r="S26" s="5"/>
      <c r="T26" s="5"/>
      <c r="U26" s="5"/>
      <c r="V26" s="5"/>
      <c r="W26" s="5"/>
      <c r="X26" s="5"/>
      <c r="Y26" s="5"/>
      <c r="Z26" s="5"/>
      <c r="AA26" s="5"/>
    </row>
    <row r="27" spans="2:27" ht="17.25">
      <c r="B27" s="5"/>
      <c r="C27" s="5"/>
      <c r="D27" s="5"/>
      <c r="E27" s="5"/>
      <c r="F27" s="5"/>
      <c r="G27" s="5"/>
      <c r="H27" s="341" t="s">
        <v>174</v>
      </c>
      <c r="I27" s="341"/>
      <c r="J27" s="341"/>
      <c r="K27" s="341"/>
      <c r="L27" s="341"/>
      <c r="M27" s="337" t="s">
        <v>206</v>
      </c>
      <c r="N27" s="337"/>
      <c r="O27" s="337"/>
      <c r="P27" s="337"/>
      <c r="Q27" s="337"/>
      <c r="R27" s="337"/>
      <c r="S27" s="337"/>
      <c r="T27" s="337"/>
      <c r="U27" s="337"/>
      <c r="V27" s="337"/>
      <c r="W27" s="337"/>
      <c r="X27" s="337"/>
      <c r="Y27" s="337"/>
      <c r="Z27" s="337"/>
      <c r="AA27" s="337"/>
    </row>
    <row r="28" spans="2:27" ht="13.5" customHeight="1">
      <c r="B28" s="5"/>
      <c r="C28" s="5"/>
      <c r="D28" s="5"/>
      <c r="E28" s="5"/>
      <c r="F28" s="5"/>
      <c r="G28" s="5"/>
      <c r="H28" s="5"/>
      <c r="I28" s="5"/>
      <c r="J28" s="5"/>
      <c r="K28" s="5"/>
      <c r="L28" s="5"/>
      <c r="M28" s="5"/>
      <c r="N28" s="5"/>
      <c r="O28" s="5"/>
      <c r="P28" s="5"/>
      <c r="Q28" s="5"/>
      <c r="R28" s="5"/>
      <c r="S28" s="5"/>
      <c r="T28" s="5"/>
      <c r="U28" s="340"/>
      <c r="V28" s="340"/>
      <c r="W28" s="340"/>
      <c r="X28" s="340"/>
      <c r="Y28" s="340"/>
      <c r="Z28" s="340"/>
      <c r="AA28" s="340"/>
    </row>
    <row r="29" spans="2:27" ht="21" customHeight="1">
      <c r="B29" s="5"/>
      <c r="C29" s="335" t="s">
        <v>181</v>
      </c>
      <c r="D29" s="336"/>
      <c r="E29" s="342" t="s">
        <v>182</v>
      </c>
      <c r="F29" s="343"/>
      <c r="G29" s="335" t="s">
        <v>183</v>
      </c>
      <c r="H29" s="336"/>
      <c r="I29" s="335" t="s">
        <v>193</v>
      </c>
      <c r="J29" s="336"/>
      <c r="K29" s="335" t="s">
        <v>184</v>
      </c>
      <c r="L29" s="336"/>
      <c r="M29" s="5"/>
      <c r="N29" s="5"/>
      <c r="O29" s="5"/>
      <c r="P29" s="5"/>
      <c r="Q29" s="5"/>
      <c r="R29" s="5"/>
      <c r="S29" s="5"/>
      <c r="T29" s="5"/>
      <c r="U29" s="278" t="str">
        <f>IFERROR(CONCATENATE("( ",IF('Master Sheet'!D9="","",UPPER('Master Sheet'!D9))," ) ",),"")</f>
        <v xml:space="preserve">( USHA PALIYA ) </v>
      </c>
      <c r="V29" s="278"/>
      <c r="W29" s="278"/>
      <c r="X29" s="278"/>
      <c r="Y29" s="278"/>
      <c r="Z29" s="278"/>
      <c r="AA29" s="278"/>
    </row>
    <row r="30" spans="2:27" ht="15.75">
      <c r="B30" s="5"/>
      <c r="C30" s="344">
        <f>IF(G25="","",G25)</f>
        <v>1146398</v>
      </c>
      <c r="D30" s="344"/>
      <c r="E30" s="344">
        <f>IF(K25="","",K25)</f>
        <v>1117213</v>
      </c>
      <c r="F30" s="344"/>
      <c r="G30" s="345">
        <f>IF(O25="","",O25)</f>
        <v>29185</v>
      </c>
      <c r="H30" s="345"/>
      <c r="I30" s="346">
        <f>IF(Y25="","",Y25)</f>
        <v>3301</v>
      </c>
      <c r="J30" s="346"/>
      <c r="K30" s="347">
        <f>IF(Z25="","",Z25)</f>
        <v>25884</v>
      </c>
      <c r="L30" s="347"/>
      <c r="M30" s="5"/>
      <c r="N30" s="5"/>
      <c r="O30" s="5"/>
      <c r="P30" s="5"/>
      <c r="Q30" s="5"/>
      <c r="R30" s="5"/>
      <c r="S30" s="5"/>
      <c r="T30" s="5"/>
      <c r="U30" s="338" t="s">
        <v>175</v>
      </c>
      <c r="V30" s="338"/>
      <c r="W30" s="338"/>
      <c r="X30" s="338"/>
      <c r="Y30" s="338"/>
      <c r="Z30" s="338"/>
      <c r="AA30" s="338"/>
    </row>
    <row r="31" spans="2:27">
      <c r="B31" s="5"/>
      <c r="C31" s="344"/>
      <c r="D31" s="344"/>
      <c r="E31" s="344"/>
      <c r="F31" s="344"/>
      <c r="G31" s="345"/>
      <c r="H31" s="345"/>
      <c r="I31" s="346"/>
      <c r="J31" s="346"/>
      <c r="K31" s="347"/>
      <c r="L31" s="347"/>
      <c r="M31" s="5"/>
      <c r="N31" s="5"/>
      <c r="O31" s="5"/>
      <c r="P31" s="5"/>
      <c r="Q31" s="5"/>
      <c r="R31" s="5"/>
      <c r="S31" s="5"/>
      <c r="T31" s="5"/>
      <c r="U31" s="339" t="str">
        <f>IFERROR(CONCATENATE(IF('Master Sheet'!D7="","",('Master Sheet'!D7))," , ",IF('Master Sheet'!Q9="","",'Master Sheet'!Q9)),"")</f>
        <v>Mahatma Gandhi Government School (English Medium) Bar, (Beawar) , 11111</v>
      </c>
      <c r="V31" s="339"/>
      <c r="W31" s="339"/>
      <c r="X31" s="339"/>
      <c r="Y31" s="339"/>
      <c r="Z31" s="339"/>
      <c r="AA31" s="339"/>
    </row>
    <row r="32" spans="2:27">
      <c r="B32" s="5"/>
      <c r="C32" s="5"/>
      <c r="D32" s="5"/>
      <c r="E32" s="5"/>
      <c r="F32" s="5"/>
      <c r="G32" s="5"/>
      <c r="H32" s="5"/>
      <c r="I32" s="5"/>
      <c r="J32" s="5"/>
      <c r="K32" s="5"/>
      <c r="L32" s="5"/>
      <c r="M32" s="5"/>
      <c r="N32" s="5"/>
      <c r="O32" s="5"/>
      <c r="P32" s="5"/>
      <c r="Q32" s="5"/>
      <c r="R32" s="5"/>
      <c r="S32" s="5"/>
      <c r="T32" s="5"/>
      <c r="U32" s="339"/>
      <c r="V32" s="339"/>
      <c r="W32" s="339"/>
      <c r="X32" s="339"/>
      <c r="Y32" s="339"/>
      <c r="Z32" s="339"/>
      <c r="AA32" s="339"/>
    </row>
    <row r="33" spans="2:27" ht="18.75">
      <c r="B33" s="139" t="s">
        <v>176</v>
      </c>
      <c r="C33" s="350"/>
      <c r="D33" s="350"/>
      <c r="E33" s="350"/>
      <c r="F33" s="350"/>
      <c r="G33" s="350"/>
      <c r="H33" s="131"/>
      <c r="I33" s="140" t="s">
        <v>121</v>
      </c>
      <c r="J33" s="351">
        <f ca="1">TODAY()</f>
        <v>45425</v>
      </c>
      <c r="K33" s="351"/>
      <c r="L33" s="5"/>
      <c r="M33" s="5"/>
      <c r="N33" s="5"/>
      <c r="O33" s="5"/>
      <c r="P33" s="5"/>
      <c r="Q33" s="5"/>
      <c r="R33" s="5"/>
      <c r="S33" s="5"/>
      <c r="T33" s="5"/>
      <c r="U33" s="5"/>
      <c r="V33" s="5"/>
      <c r="W33" s="5"/>
      <c r="X33" s="5"/>
      <c r="Y33" s="5"/>
      <c r="Z33" s="5"/>
      <c r="AA33" s="5"/>
    </row>
    <row r="34" spans="2:27" ht="15.75">
      <c r="B34" s="352" t="s">
        <v>177</v>
      </c>
      <c r="C34" s="352"/>
      <c r="D34" s="352"/>
      <c r="E34" s="352"/>
      <c r="F34" s="352"/>
      <c r="G34" s="352"/>
      <c r="H34" s="352"/>
      <c r="I34" s="5"/>
      <c r="J34" s="5"/>
      <c r="K34" s="5"/>
      <c r="L34" s="5"/>
      <c r="M34" s="5"/>
      <c r="N34" s="5"/>
      <c r="O34" s="5"/>
      <c r="P34" s="5"/>
      <c r="Q34" s="5"/>
      <c r="R34" s="5"/>
      <c r="S34" s="5"/>
      <c r="T34" s="5"/>
      <c r="U34" s="5"/>
      <c r="V34" s="5"/>
      <c r="W34" s="5"/>
      <c r="X34" s="5"/>
      <c r="Y34" s="5"/>
      <c r="Z34" s="5"/>
      <c r="AA34" s="5"/>
    </row>
    <row r="35" spans="2:27" ht="18.75">
      <c r="B35" s="132">
        <v>1</v>
      </c>
      <c r="C35" s="353" t="s">
        <v>178</v>
      </c>
      <c r="D35" s="353"/>
      <c r="E35" s="353"/>
      <c r="F35" s="353"/>
      <c r="G35" s="353"/>
      <c r="H35" s="353"/>
      <c r="I35" s="131"/>
      <c r="J35" s="133"/>
      <c r="K35" s="5"/>
      <c r="L35" s="134"/>
      <c r="M35" s="134"/>
      <c r="N35" s="134"/>
      <c r="O35" s="134"/>
      <c r="P35" s="134"/>
      <c r="Q35" s="5"/>
      <c r="R35" s="5"/>
      <c r="S35" s="5"/>
      <c r="T35" s="5"/>
      <c r="U35" s="340"/>
      <c r="V35" s="340"/>
      <c r="W35" s="340"/>
      <c r="X35" s="340"/>
      <c r="Y35" s="340"/>
      <c r="Z35" s="340"/>
      <c r="AA35" s="340"/>
    </row>
    <row r="36" spans="2:27" ht="18.75">
      <c r="B36" s="135">
        <v>2</v>
      </c>
      <c r="C36" s="348" t="s">
        <v>179</v>
      </c>
      <c r="D36" s="348"/>
      <c r="E36" s="348"/>
      <c r="F36" s="348"/>
      <c r="G36" s="349" t="str">
        <f>IFERROR(CONCATENATE(IF($F$4="","",$F$4),",  ",IF($M$4="","",$M$4)),"")</f>
        <v>HEERALAL JAT,  Sr. Teacher</v>
      </c>
      <c r="H36" s="349"/>
      <c r="I36" s="349"/>
      <c r="J36" s="349"/>
      <c r="K36" s="349"/>
      <c r="L36" s="349"/>
      <c r="M36" s="349"/>
      <c r="N36" s="349"/>
      <c r="O36" s="138"/>
      <c r="P36" s="138"/>
      <c r="Q36" s="5"/>
      <c r="R36" s="5"/>
      <c r="S36" s="5"/>
      <c r="T36" s="5"/>
      <c r="U36" s="278" t="str">
        <f>IFERROR(CONCATENATE("( ",IF('Master Sheet'!D9="","",UPPER('Master Sheet'!D9))," ) ",),"")</f>
        <v xml:space="preserve">( USHA PALIYA ) </v>
      </c>
      <c r="V36" s="278"/>
      <c r="W36" s="278"/>
      <c r="X36" s="278"/>
      <c r="Y36" s="278"/>
      <c r="Z36" s="278"/>
      <c r="AA36" s="278"/>
    </row>
    <row r="37" spans="2:27" ht="18.75">
      <c r="B37" s="132">
        <v>3</v>
      </c>
      <c r="C37" s="348" t="s">
        <v>180</v>
      </c>
      <c r="D37" s="348"/>
      <c r="E37" s="136"/>
      <c r="F37" s="136"/>
      <c r="G37" s="173"/>
      <c r="H37" s="173"/>
      <c r="I37" s="173"/>
      <c r="J37" s="173"/>
      <c r="K37" s="173"/>
      <c r="L37" s="173"/>
      <c r="M37" s="173"/>
      <c r="N37" s="173"/>
      <c r="O37" s="173"/>
      <c r="P37" s="173"/>
      <c r="Q37" s="5"/>
      <c r="R37" s="5"/>
      <c r="S37" s="5"/>
      <c r="T37" s="5"/>
      <c r="U37" s="338" t="s">
        <v>175</v>
      </c>
      <c r="V37" s="338"/>
      <c r="W37" s="338"/>
      <c r="X37" s="338"/>
      <c r="Y37" s="338"/>
      <c r="Z37" s="338"/>
      <c r="AA37" s="338"/>
    </row>
    <row r="38" spans="2:27">
      <c r="B38" s="5"/>
      <c r="C38" s="5"/>
      <c r="D38" s="5"/>
      <c r="E38" s="5"/>
      <c r="F38" s="5"/>
      <c r="G38" s="5"/>
      <c r="H38" s="5"/>
      <c r="I38" s="5"/>
      <c r="J38" s="5"/>
      <c r="K38" s="5"/>
      <c r="L38" s="5"/>
      <c r="M38" s="5"/>
      <c r="N38" s="5"/>
      <c r="O38" s="5"/>
      <c r="P38" s="5"/>
      <c r="Q38" s="5"/>
      <c r="R38" s="5"/>
      <c r="S38" s="5"/>
      <c r="T38" s="5"/>
      <c r="U38" s="339" t="str">
        <f>IFERROR(CONCATENATE(IF('Master Sheet'!D7="","",('Master Sheet'!D7))," , ",IF('Master Sheet'!Q9="","",'Master Sheet'!Q9)),"")</f>
        <v>Mahatma Gandhi Government School (English Medium) Bar, (Beawar) , 11111</v>
      </c>
      <c r="V38" s="339"/>
      <c r="W38" s="339"/>
      <c r="X38" s="339"/>
      <c r="Y38" s="339"/>
      <c r="Z38" s="339"/>
      <c r="AA38" s="339"/>
    </row>
    <row r="39" spans="2:27">
      <c r="B39" s="5"/>
      <c r="C39" s="5"/>
      <c r="D39" s="5"/>
      <c r="E39" s="5"/>
      <c r="F39" s="5"/>
      <c r="G39" s="5"/>
      <c r="H39" s="5"/>
      <c r="I39" s="5"/>
      <c r="J39" s="5"/>
      <c r="K39" s="5"/>
      <c r="L39" s="5"/>
      <c r="M39" s="5"/>
      <c r="N39" s="5"/>
      <c r="O39" s="5"/>
      <c r="P39" s="5"/>
      <c r="Q39" s="5"/>
      <c r="R39" s="5"/>
      <c r="S39" s="5"/>
      <c r="T39" s="5"/>
      <c r="U39" s="339"/>
      <c r="V39" s="339"/>
      <c r="W39" s="339"/>
      <c r="X39" s="339"/>
      <c r="Y39" s="339"/>
      <c r="Z39" s="339"/>
      <c r="AA39" s="339"/>
    </row>
    <row r="40" spans="2:27"/>
    <row r="41" spans="2:27"/>
  </sheetData>
  <mergeCells count="63">
    <mergeCell ref="C2:AA2"/>
    <mergeCell ref="J3:L3"/>
    <mergeCell ref="M3:O3"/>
    <mergeCell ref="Q3:S3"/>
    <mergeCell ref="C4:E4"/>
    <mergeCell ref="F4:J4"/>
    <mergeCell ref="K4:L4"/>
    <mergeCell ref="M4:O4"/>
    <mergeCell ref="P4:R4"/>
    <mergeCell ref="S4:AA5"/>
    <mergeCell ref="K5:R5"/>
    <mergeCell ref="B7:B9"/>
    <mergeCell ref="C7:C9"/>
    <mergeCell ref="D7:G7"/>
    <mergeCell ref="H7:K7"/>
    <mergeCell ref="L7:O7"/>
    <mergeCell ref="D8:D9"/>
    <mergeCell ref="E8:E9"/>
    <mergeCell ref="F8:F9"/>
    <mergeCell ref="G8:G9"/>
    <mergeCell ref="P7:X7"/>
    <mergeCell ref="L8:L9"/>
    <mergeCell ref="M8:M9"/>
    <mergeCell ref="N8:N9"/>
    <mergeCell ref="H27:L27"/>
    <mergeCell ref="M27:AA27"/>
    <mergeCell ref="Y7:Y9"/>
    <mergeCell ref="AA7:AA9"/>
    <mergeCell ref="H8:H9"/>
    <mergeCell ref="I8:I9"/>
    <mergeCell ref="J8:J9"/>
    <mergeCell ref="K8:K9"/>
    <mergeCell ref="Z7:Z9"/>
    <mergeCell ref="O8:O9"/>
    <mergeCell ref="P8:R8"/>
    <mergeCell ref="S8:U8"/>
    <mergeCell ref="V8:X8"/>
    <mergeCell ref="B25:C25"/>
    <mergeCell ref="U30:AA30"/>
    <mergeCell ref="U31:AA32"/>
    <mergeCell ref="U28:AA28"/>
    <mergeCell ref="C29:D29"/>
    <mergeCell ref="E29:F29"/>
    <mergeCell ref="G29:H29"/>
    <mergeCell ref="I29:J29"/>
    <mergeCell ref="K29:L29"/>
    <mergeCell ref="U29:AA29"/>
    <mergeCell ref="C30:D31"/>
    <mergeCell ref="E30:F31"/>
    <mergeCell ref="G30:H31"/>
    <mergeCell ref="I30:J31"/>
    <mergeCell ref="K30:L31"/>
    <mergeCell ref="C37:D37"/>
    <mergeCell ref="U37:AA37"/>
    <mergeCell ref="U38:AA39"/>
    <mergeCell ref="C33:G33"/>
    <mergeCell ref="J33:K33"/>
    <mergeCell ref="B34:H34"/>
    <mergeCell ref="C35:H35"/>
    <mergeCell ref="U35:AA35"/>
    <mergeCell ref="C36:F36"/>
    <mergeCell ref="G36:N36"/>
    <mergeCell ref="U36:AA36"/>
  </mergeCells>
  <pageMargins left="0.45" right="0.2" top="0.25" bottom="0.25" header="0.3" footer="0.3"/>
  <pageSetup paperSize="9" scale="78"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Master Sheet</vt:lpstr>
      <vt:lpstr>DATA ENTRY</vt:lpstr>
      <vt:lpstr>Pay Chart</vt:lpstr>
      <vt:lpstr>Option Form</vt:lpstr>
      <vt:lpstr>New MACP FITTING</vt:lpstr>
      <vt:lpstr>Revised MACP FITTING</vt:lpstr>
      <vt:lpstr>Arrear</vt:lpstr>
      <vt:lpstr>Unlock Arrear sheet</vt:lpstr>
      <vt:lpstr>month</vt:lpstr>
      <vt:lpstr>Arrear!Print_Area</vt:lpstr>
      <vt:lpstr>'New MACP FITTING'!Print_Area</vt:lpstr>
      <vt:lpstr>'Option Form'!Print_Area</vt:lpstr>
      <vt:lpstr>'Revised MACP FITTING'!Print_Area</vt:lpstr>
      <vt:lpstr>'Unlock Arrear sheet'!Print_Area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2024-05-13T15:03:33Z</dcterms:modified>
</cp:coreProperties>
</file>