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Master Sheet" sheetId="1" r:id="rId1"/>
    <sheet name="DATA ENTRY" sheetId="5" r:id="rId2"/>
    <sheet name="Pay Chart" sheetId="2" r:id="rId3"/>
    <sheet name="Option Form" sheetId="4" r:id="rId4"/>
    <sheet name="New MACP FITTING" sheetId="6" r:id="rId5"/>
    <sheet name="Revised MACP FITTING" sheetId="7" r:id="rId6"/>
    <sheet name="Arrear" sheetId="8" r:id="rId7"/>
    <sheet name="Unlock Arrear sheet" sheetId="9" r:id="rId8"/>
  </sheets>
  <definedNames>
    <definedName name="L_1">'Pay Chart'!$C$11:$C$50</definedName>
    <definedName name="L_10">'Pay Chart'!$L$11:$L$50</definedName>
    <definedName name="L_11">'Pay Chart'!$M$11:$M$50</definedName>
    <definedName name="L_12">'Pay Chart'!$N$11:$N$50</definedName>
    <definedName name="L_13">'Pay Chart'!$O$11:$O$50</definedName>
    <definedName name="L_14">'Pay Chart'!$P$11:$P$50</definedName>
    <definedName name="L_15">'Pay Chart'!$Q$11:$Q$50</definedName>
    <definedName name="L_16">'Pay Chart'!$R$11:$R$50</definedName>
    <definedName name="L_17">'Pay Chart'!$S$11:$S$50</definedName>
    <definedName name="L_18">'Pay Chart'!$T$11:$T$50</definedName>
    <definedName name="L_19">'Pay Chart'!$U$11:$U$50</definedName>
    <definedName name="L_2">'Pay Chart'!$D$11:$D$50</definedName>
    <definedName name="L_20">'Pay Chart'!$V$11:$V$50</definedName>
    <definedName name="L_21">'Pay Chart'!$W$11:$W$50</definedName>
    <definedName name="L_22">'Pay Chart'!$X$11:$X$50</definedName>
    <definedName name="L_23">'Pay Chart'!$Y$11:$Y$50</definedName>
    <definedName name="L_24">'Pay Chart'!$Z$11:$Z$50</definedName>
    <definedName name="L_3">'Pay Chart'!$E$11:$E$50</definedName>
    <definedName name="L_4">'Pay Chart'!$F$11:$F$50</definedName>
    <definedName name="L_5">'Pay Chart'!$G$11:$G$50</definedName>
    <definedName name="L_6">'Pay Chart'!$H$11:$H$50</definedName>
    <definedName name="L_7">'Pay Chart'!$I$11:$I$50</definedName>
    <definedName name="L_8">'Pay Chart'!$J$11:$J$50</definedName>
    <definedName name="L_9">'Pay Chart'!$K$11:$K$50</definedName>
    <definedName name="Level">'Pay Chart'!$C$9:$Z$9</definedName>
    <definedName name="month">Arrear!$BB$15:$BB$47</definedName>
    <definedName name="_xlnm.Print_Area" localSheetId="6">Arrear!$B$15:$Z$70</definedName>
    <definedName name="_xlnm.Print_Area" localSheetId="4">'New MACP FITTING'!$A$2:$O$30</definedName>
    <definedName name="_xlnm.Print_Area" localSheetId="3">'Option Form'!$B$1:$K$36</definedName>
    <definedName name="_xlnm.Print_Area" localSheetId="5">'Revised MACP FITTING'!$A$1:$O$31</definedName>
    <definedName name="_xlnm.Print_Area" localSheetId="7">'Unlock Arrear sheet'!$B$2:$AA$57</definedName>
  </definedNames>
  <calcPr calcId="124519"/>
</workbook>
</file>

<file path=xl/calcChain.xml><?xml version="1.0" encoding="utf-8"?>
<calcChain xmlns="http://schemas.openxmlformats.org/spreadsheetml/2006/main">
  <c r="BM16" i="8"/>
  <c r="BN16"/>
  <c r="BM17"/>
  <c r="BN17"/>
  <c r="BM18"/>
  <c r="BN18"/>
  <c r="BM19"/>
  <c r="BN19"/>
  <c r="BM20"/>
  <c r="BN20"/>
  <c r="BM21"/>
  <c r="BN21"/>
  <c r="BM22"/>
  <c r="BN22"/>
  <c r="BM23"/>
  <c r="BN23"/>
  <c r="BM24"/>
  <c r="BN24"/>
  <c r="BM25"/>
  <c r="BN25"/>
  <c r="BM26"/>
  <c r="BN26"/>
  <c r="BM27"/>
  <c r="BN27"/>
  <c r="BM28"/>
  <c r="BN28"/>
  <c r="BM29"/>
  <c r="BN29"/>
  <c r="BM30"/>
  <c r="BN30"/>
  <c r="BM31"/>
  <c r="BN31"/>
  <c r="BM32"/>
  <c r="BN32"/>
  <c r="BM33"/>
  <c r="BN33"/>
  <c r="BM34"/>
  <c r="BN34"/>
  <c r="BM35"/>
  <c r="BN35"/>
  <c r="BM36"/>
  <c r="BN36"/>
  <c r="BM37"/>
  <c r="BN37"/>
  <c r="BM38"/>
  <c r="BN38"/>
  <c r="BM39"/>
  <c r="BN39"/>
  <c r="BM40"/>
  <c r="BN40"/>
  <c r="BM41"/>
  <c r="BN41"/>
  <c r="BM42"/>
  <c r="BN42"/>
  <c r="BM43"/>
  <c r="BN43"/>
  <c r="BM44"/>
  <c r="BN44"/>
  <c r="BM45"/>
  <c r="BN45"/>
  <c r="BM46"/>
  <c r="BN46"/>
  <c r="BM47"/>
  <c r="BN47"/>
  <c r="BM48"/>
  <c r="BN48"/>
  <c r="BM49"/>
  <c r="BN49"/>
  <c r="BM50"/>
  <c r="BN50"/>
  <c r="BM51"/>
  <c r="BN51"/>
  <c r="BM52"/>
  <c r="BN52"/>
  <c r="BM53"/>
  <c r="BN53"/>
  <c r="BM54"/>
  <c r="BN54"/>
  <c r="BM55"/>
  <c r="BN55"/>
  <c r="BM56"/>
  <c r="BN56"/>
  <c r="BM57"/>
  <c r="BN57"/>
  <c r="BM58"/>
  <c r="BN58"/>
  <c r="BM59"/>
  <c r="BN59"/>
  <c r="BM60"/>
  <c r="BN60"/>
  <c r="BN15"/>
  <c r="BM15"/>
  <c r="W32" i="9"/>
  <c r="W33"/>
  <c r="W34"/>
  <c r="W35"/>
  <c r="W36"/>
  <c r="W37"/>
  <c r="W38"/>
  <c r="W39"/>
  <c r="W40"/>
  <c r="W41"/>
  <c r="W42"/>
  <c r="W56" i="8"/>
  <c r="BF59"/>
  <c r="BG59" s="1"/>
  <c r="BE59"/>
  <c r="BE15"/>
  <c r="BD59"/>
  <c r="BD15"/>
  <c r="BC48"/>
  <c r="BC47"/>
  <c r="BD47" s="1"/>
  <c r="BC46"/>
  <c r="BD46" s="1"/>
  <c r="BC45"/>
  <c r="BC43"/>
  <c r="BD43" s="1"/>
  <c r="BE43" s="1"/>
  <c r="BF43" s="1"/>
  <c r="BA43" s="1"/>
  <c r="BC44"/>
  <c r="BC49"/>
  <c r="BD49" s="1"/>
  <c r="BE49" s="1"/>
  <c r="BF49" s="1"/>
  <c r="BA49" s="1"/>
  <c r="BC50"/>
  <c r="BC51"/>
  <c r="BD51" s="1"/>
  <c r="BE51" s="1"/>
  <c r="BF51" s="1"/>
  <c r="BA51" s="1"/>
  <c r="BC52"/>
  <c r="BC53"/>
  <c r="BD53" s="1"/>
  <c r="BE53" s="1"/>
  <c r="BF53" s="1"/>
  <c r="BA53" s="1"/>
  <c r="BC54"/>
  <c r="BD54" s="1"/>
  <c r="BC55"/>
  <c r="BD55" s="1"/>
  <c r="BE55" s="1"/>
  <c r="BF55" s="1"/>
  <c r="BA55" s="1"/>
  <c r="BC56"/>
  <c r="BC57"/>
  <c r="BD57" s="1"/>
  <c r="BE57" s="1"/>
  <c r="BF57" s="1"/>
  <c r="BA57" s="1"/>
  <c r="BC58"/>
  <c r="BD58" s="1"/>
  <c r="BC42"/>
  <c r="BD42" s="1"/>
  <c r="BJ59"/>
  <c r="Z2"/>
  <c r="BH10"/>
  <c r="BE46" l="1"/>
  <c r="BF46" s="1"/>
  <c r="BA46" s="1"/>
  <c r="BD48"/>
  <c r="BE48" s="1"/>
  <c r="BF48" s="1"/>
  <c r="BA48" s="1"/>
  <c r="BE42"/>
  <c r="BF42" s="1"/>
  <c r="BA42" s="1"/>
  <c r="BE58"/>
  <c r="BF58" s="1"/>
  <c r="BE54"/>
  <c r="BF54" s="1"/>
  <c r="BA54" s="1"/>
  <c r="BD50"/>
  <c r="BE50" s="1"/>
  <c r="BF50" s="1"/>
  <c r="BG55"/>
  <c r="BJ55"/>
  <c r="AY55"/>
  <c r="BG51"/>
  <c r="BJ51"/>
  <c r="AY51"/>
  <c r="BG57"/>
  <c r="BJ57"/>
  <c r="AY53"/>
  <c r="BG53"/>
  <c r="BJ53"/>
  <c r="AY49"/>
  <c r="BG49"/>
  <c r="BJ49"/>
  <c r="AY46"/>
  <c r="C54"/>
  <c r="S54" s="1"/>
  <c r="S41" i="9" s="1"/>
  <c r="BJ58" i="8"/>
  <c r="BG54"/>
  <c r="BJ54"/>
  <c r="AY54"/>
  <c r="BD56"/>
  <c r="BE56" s="1"/>
  <c r="BF56" s="1"/>
  <c r="BA56" s="1"/>
  <c r="BD52"/>
  <c r="BE52" s="1"/>
  <c r="BF52" s="1"/>
  <c r="BA52" s="1"/>
  <c r="BD44"/>
  <c r="BE44" s="1"/>
  <c r="BF44" s="1"/>
  <c r="BA44" s="1"/>
  <c r="BD45"/>
  <c r="BE45" s="1"/>
  <c r="BF45" s="1"/>
  <c r="BA45" s="1"/>
  <c r="BK59"/>
  <c r="BE47"/>
  <c r="BF47" s="1"/>
  <c r="BA47" s="1"/>
  <c r="BH59"/>
  <c r="BL59"/>
  <c r="BI59"/>
  <c r="BH8"/>
  <c r="BG50" l="1"/>
  <c r="BA50"/>
  <c r="BJ50"/>
  <c r="BK50" s="1"/>
  <c r="T54"/>
  <c r="T41" i="9" s="1"/>
  <c r="U41" s="1"/>
  <c r="C41"/>
  <c r="BG58" i="8"/>
  <c r="BA58"/>
  <c r="BG48"/>
  <c r="AY48"/>
  <c r="BJ48"/>
  <c r="AY50"/>
  <c r="BH49"/>
  <c r="BI49"/>
  <c r="BH53"/>
  <c r="BI53"/>
  <c r="C55"/>
  <c r="C42" i="9" s="1"/>
  <c r="AY47" i="8"/>
  <c r="BI58"/>
  <c r="BH58"/>
  <c r="BL49"/>
  <c r="BK49"/>
  <c r="BL53"/>
  <c r="BK53"/>
  <c r="BH57"/>
  <c r="BI57"/>
  <c r="BI51"/>
  <c r="BH51"/>
  <c r="BI55"/>
  <c r="BH55"/>
  <c r="BL48"/>
  <c r="BK48"/>
  <c r="BL58"/>
  <c r="BK58"/>
  <c r="BJ56"/>
  <c r="BG56"/>
  <c r="BL57"/>
  <c r="BK57"/>
  <c r="BL51"/>
  <c r="BK51"/>
  <c r="BL55"/>
  <c r="BK55"/>
  <c r="BI50"/>
  <c r="BH50"/>
  <c r="BI54"/>
  <c r="BH54"/>
  <c r="BJ52"/>
  <c r="BG52"/>
  <c r="AY52"/>
  <c r="BH48"/>
  <c r="BL54"/>
  <c r="BK54"/>
  <c r="W24" i="9"/>
  <c r="W25"/>
  <c r="W26"/>
  <c r="W27"/>
  <c r="W28"/>
  <c r="W29"/>
  <c r="W30"/>
  <c r="W31"/>
  <c r="BC41" i="8"/>
  <c r="BC40"/>
  <c r="BC39"/>
  <c r="BC38"/>
  <c r="BC37"/>
  <c r="BC36"/>
  <c r="BC35"/>
  <c r="BC34"/>
  <c r="BC33"/>
  <c r="BC32"/>
  <c r="BC31"/>
  <c r="BC30"/>
  <c r="BC29"/>
  <c r="BC28"/>
  <c r="BC25"/>
  <c r="BC27"/>
  <c r="AZ56"/>
  <c r="AZ45"/>
  <c r="AZ36"/>
  <c r="AZ35"/>
  <c r="AZ34"/>
  <c r="BC17"/>
  <c r="C17" i="5"/>
  <c r="C27"/>
  <c r="J28"/>
  <c r="J13"/>
  <c r="U54" i="8" l="1"/>
  <c r="BL50"/>
  <c r="BI48"/>
  <c r="BD30"/>
  <c r="BE30" s="1"/>
  <c r="BF30" s="1"/>
  <c r="BA30" s="1"/>
  <c r="BD38"/>
  <c r="BE38" s="1"/>
  <c r="BF38" s="1"/>
  <c r="BA38" s="1"/>
  <c r="BL52"/>
  <c r="BK52"/>
  <c r="BI56"/>
  <c r="BH56"/>
  <c r="T55"/>
  <c r="T42" i="9" s="1"/>
  <c r="S55" i="8"/>
  <c r="S42" i="9" s="1"/>
  <c r="BD29" i="8"/>
  <c r="BE29" s="1"/>
  <c r="BF29" s="1"/>
  <c r="BA29" s="1"/>
  <c r="BD33"/>
  <c r="BE33" s="1"/>
  <c r="BF33" s="1"/>
  <c r="BA33" s="1"/>
  <c r="BD37"/>
  <c r="BE37" s="1"/>
  <c r="BF37" s="1"/>
  <c r="BA37" s="1"/>
  <c r="BD41"/>
  <c r="BE41" s="1"/>
  <c r="BF41" s="1"/>
  <c r="BA41" s="1"/>
  <c r="BI52"/>
  <c r="BH52"/>
  <c r="BD25"/>
  <c r="BE25" s="1"/>
  <c r="BF25" s="1"/>
  <c r="BA25" s="1"/>
  <c r="BD39"/>
  <c r="BE39" s="1"/>
  <c r="BF39" s="1"/>
  <c r="BA39" s="1"/>
  <c r="BL56"/>
  <c r="BK56"/>
  <c r="BD27"/>
  <c r="BE27" s="1"/>
  <c r="BF27" s="1"/>
  <c r="BA27" s="1"/>
  <c r="BD34"/>
  <c r="BE34" s="1"/>
  <c r="BF34" s="1"/>
  <c r="BA34" s="1"/>
  <c r="BD17"/>
  <c r="BE17" s="1"/>
  <c r="BF17" s="1"/>
  <c r="BA17" s="1"/>
  <c r="BD28"/>
  <c r="BE28" s="1"/>
  <c r="BF28" s="1"/>
  <c r="BA28" s="1"/>
  <c r="BD32"/>
  <c r="BE32" s="1"/>
  <c r="BF32" s="1"/>
  <c r="BA32" s="1"/>
  <c r="BD36"/>
  <c r="BE36" s="1"/>
  <c r="BF36" s="1"/>
  <c r="BA36" s="1"/>
  <c r="BD40"/>
  <c r="BE40" s="1"/>
  <c r="BF40" s="1"/>
  <c r="BA40" s="1"/>
  <c r="BD35"/>
  <c r="BE35" s="1"/>
  <c r="BF35" s="1"/>
  <c r="BA35" s="1"/>
  <c r="BD31"/>
  <c r="BE31" s="1"/>
  <c r="BF31" s="1"/>
  <c r="BA31" s="1"/>
  <c r="W18" i="9"/>
  <c r="W19"/>
  <c r="W20"/>
  <c r="W21"/>
  <c r="W22"/>
  <c r="W23"/>
  <c r="BC26" i="8"/>
  <c r="BC24"/>
  <c r="BC23"/>
  <c r="W11" i="9"/>
  <c r="W12"/>
  <c r="W13"/>
  <c r="W14"/>
  <c r="W15"/>
  <c r="W16"/>
  <c r="W17"/>
  <c r="W10"/>
  <c r="G67" i="8"/>
  <c r="U69"/>
  <c r="U56" i="9"/>
  <c r="U49"/>
  <c r="U62" i="8"/>
  <c r="U54" i="9"/>
  <c r="U47"/>
  <c r="U67" i="8"/>
  <c r="U60"/>
  <c r="S4" i="9"/>
  <c r="S17" i="8"/>
  <c r="M4" i="9"/>
  <c r="M17" i="8"/>
  <c r="F4" i="9"/>
  <c r="F17" i="8"/>
  <c r="M16"/>
  <c r="M3" i="9" s="1"/>
  <c r="C2"/>
  <c r="C15" i="8"/>
  <c r="J51" i="9"/>
  <c r="C5"/>
  <c r="Q11" i="8"/>
  <c r="O12" s="1"/>
  <c r="O15" i="1"/>
  <c r="R15" s="1"/>
  <c r="Z4" i="8"/>
  <c r="S6" s="1"/>
  <c r="C10" i="5"/>
  <c r="C8"/>
  <c r="D29" i="7"/>
  <c r="J64" i="8"/>
  <c r="M20" i="6"/>
  <c r="L30" i="7"/>
  <c r="U42" i="9" l="1"/>
  <c r="U55" i="8"/>
  <c r="BD24"/>
  <c r="BE24" s="1"/>
  <c r="BF24" s="1"/>
  <c r="BA24" s="1"/>
  <c r="BD23"/>
  <c r="BE23" s="1"/>
  <c r="BF23" s="1"/>
  <c r="BA23" s="1"/>
  <c r="BD26"/>
  <c r="BE26" s="1"/>
  <c r="BF26" s="1"/>
  <c r="BA26" s="1"/>
  <c r="AY58"/>
  <c r="G54" i="9"/>
  <c r="Q16" i="8" l="1"/>
  <c r="Q3" i="9" s="1"/>
  <c r="W43" l="1"/>
  <c r="BC16" i="8"/>
  <c r="BD16" s="1"/>
  <c r="BC6"/>
  <c r="BD6"/>
  <c r="BC22"/>
  <c r="BC21"/>
  <c r="BC20"/>
  <c r="BC19"/>
  <c r="BC18"/>
  <c r="BD21" l="1"/>
  <c r="BE21" s="1"/>
  <c r="BF21" s="1"/>
  <c r="BA21" s="1"/>
  <c r="BD19"/>
  <c r="BE19" s="1"/>
  <c r="BF19" s="1"/>
  <c r="BA19" s="1"/>
  <c r="BD18"/>
  <c r="BE18" s="1"/>
  <c r="BF18" s="1"/>
  <c r="BA18" s="1"/>
  <c r="BD22"/>
  <c r="BE22" s="1"/>
  <c r="BF22" s="1"/>
  <c r="BA22" s="1"/>
  <c r="BD20"/>
  <c r="BE20" s="1"/>
  <c r="BF20" s="1"/>
  <c r="C49"/>
  <c r="C36" i="9" s="1"/>
  <c r="C50" i="8"/>
  <c r="C37" i="9" s="1"/>
  <c r="C47" i="8"/>
  <c r="C34" i="9" s="1"/>
  <c r="C53" i="8"/>
  <c r="C40" i="9" s="1"/>
  <c r="C46" i="8"/>
  <c r="C33" i="9" s="1"/>
  <c r="C51" i="8"/>
  <c r="C38" i="9" s="1"/>
  <c r="C52" i="8"/>
  <c r="C39" i="9" s="1"/>
  <c r="C48" i="8"/>
  <c r="C35" i="9" s="1"/>
  <c r="AY29" i="8"/>
  <c r="AY31"/>
  <c r="AY30"/>
  <c r="AY27"/>
  <c r="AY32"/>
  <c r="AY28"/>
  <c r="BE16"/>
  <c r="BF16" s="1"/>
  <c r="BA16" s="1"/>
  <c r="AY20" l="1"/>
  <c r="BA20"/>
  <c r="BJ16"/>
  <c r="BG16"/>
  <c r="AY57"/>
  <c r="T52"/>
  <c r="T39" i="9" s="1"/>
  <c r="U39" s="1"/>
  <c r="S52" i="8"/>
  <c r="S39" i="9" s="1"/>
  <c r="T46" i="8"/>
  <c r="T33" i="9" s="1"/>
  <c r="U33" s="1"/>
  <c r="S46" i="8"/>
  <c r="S33" i="9" s="1"/>
  <c r="T49" i="8"/>
  <c r="T36" i="9" s="1"/>
  <c r="S49" i="8"/>
  <c r="S36" i="9" s="1"/>
  <c r="T48" i="8"/>
  <c r="T35" i="9" s="1"/>
  <c r="U35" s="1"/>
  <c r="S48" i="8"/>
  <c r="S35" i="9" s="1"/>
  <c r="AY56" i="8"/>
  <c r="T50"/>
  <c r="T37" i="9" s="1"/>
  <c r="S50" i="8"/>
  <c r="S37" i="9" s="1"/>
  <c r="T51" i="8"/>
  <c r="T38" i="9" s="1"/>
  <c r="S51" i="8"/>
  <c r="S38" i="9" s="1"/>
  <c r="U38" s="1"/>
  <c r="T47" i="8"/>
  <c r="T34" i="9" s="1"/>
  <c r="S47" i="8"/>
  <c r="S34" i="9" s="1"/>
  <c r="U34" s="1"/>
  <c r="T53" i="8"/>
  <c r="T40" i="9" s="1"/>
  <c r="S53" i="8"/>
  <c r="S40" i="9" s="1"/>
  <c r="U40" s="1"/>
  <c r="AY44" i="8"/>
  <c r="AY38"/>
  <c r="AY41"/>
  <c r="AY40"/>
  <c r="AY42"/>
  <c r="AY43"/>
  <c r="AY39"/>
  <c r="AY45"/>
  <c r="C44"/>
  <c r="AY36"/>
  <c r="C41"/>
  <c r="AY33"/>
  <c r="C42"/>
  <c r="AY34"/>
  <c r="AY35"/>
  <c r="C43"/>
  <c r="C45"/>
  <c r="C32" i="9" s="1"/>
  <c r="AY37" i="8"/>
  <c r="AY16"/>
  <c r="AY18"/>
  <c r="AY23"/>
  <c r="AY22"/>
  <c r="AY26"/>
  <c r="AY17"/>
  <c r="AY21"/>
  <c r="AY19"/>
  <c r="AY24"/>
  <c r="AY25"/>
  <c r="C40"/>
  <c r="C35"/>
  <c r="C22" i="9" s="1"/>
  <c r="C36" i="8"/>
  <c r="C37"/>
  <c r="C39"/>
  <c r="C38"/>
  <c r="J13" i="6"/>
  <c r="BC15" i="8"/>
  <c r="Y2"/>
  <c r="W2"/>
  <c r="X2"/>
  <c r="C18"/>
  <c r="U37" i="9" l="1"/>
  <c r="U36"/>
  <c r="BG17" i="8"/>
  <c r="BJ17"/>
  <c r="U46"/>
  <c r="U53"/>
  <c r="U51"/>
  <c r="U49"/>
  <c r="U47"/>
  <c r="U50"/>
  <c r="U48"/>
  <c r="U52"/>
  <c r="S35"/>
  <c r="S22" i="9" s="1"/>
  <c r="S45" i="8"/>
  <c r="S32" i="9" s="1"/>
  <c r="U32" s="1"/>
  <c r="T45" i="8"/>
  <c r="T32" i="9" s="1"/>
  <c r="C29"/>
  <c r="T42" i="8"/>
  <c r="T29" i="9" s="1"/>
  <c r="S42" i="8"/>
  <c r="S29" i="9" s="1"/>
  <c r="C28"/>
  <c r="T41" i="8"/>
  <c r="T28" i="9" s="1"/>
  <c r="S41" i="8"/>
  <c r="S28" i="9" s="1"/>
  <c r="C30"/>
  <c r="S43" i="8"/>
  <c r="S30" i="9" s="1"/>
  <c r="T43" i="8"/>
  <c r="T30" i="9" s="1"/>
  <c r="C31"/>
  <c r="T44" i="8"/>
  <c r="T31" i="9" s="1"/>
  <c r="S44" i="8"/>
  <c r="S31" i="9" s="1"/>
  <c r="C27"/>
  <c r="S40" i="8"/>
  <c r="S27" i="9" s="1"/>
  <c r="T40" i="8"/>
  <c r="T27" i="9" s="1"/>
  <c r="C34" i="8"/>
  <c r="C21" i="9" s="1"/>
  <c r="T35" i="8"/>
  <c r="T22" i="9" s="1"/>
  <c r="BF15" i="8"/>
  <c r="T36"/>
  <c r="T23" i="9" s="1"/>
  <c r="S36" i="8"/>
  <c r="S23" i="9" s="1"/>
  <c r="C23"/>
  <c r="C26"/>
  <c r="S39" i="8"/>
  <c r="T39"/>
  <c r="T26" i="9" s="1"/>
  <c r="C25"/>
  <c r="T38" i="8"/>
  <c r="T25" i="9" s="1"/>
  <c r="S38" i="8"/>
  <c r="S25" i="9" s="1"/>
  <c r="C24"/>
  <c r="T37" i="8"/>
  <c r="T24" i="9" s="1"/>
  <c r="S37" i="8"/>
  <c r="S24" i="9" s="1"/>
  <c r="C26" i="8"/>
  <c r="C13" i="9" s="1"/>
  <c r="X3" i="8"/>
  <c r="BA15" l="1"/>
  <c r="AY15"/>
  <c r="BJ18"/>
  <c r="BG18"/>
  <c r="U28" i="9"/>
  <c r="U22"/>
  <c r="U31"/>
  <c r="U40" i="8"/>
  <c r="U44"/>
  <c r="U43"/>
  <c r="U29" i="9"/>
  <c r="U41" i="8"/>
  <c r="U30" i="9"/>
  <c r="U42" i="8"/>
  <c r="U45"/>
  <c r="U27" i="9"/>
  <c r="BH12" i="8"/>
  <c r="U35"/>
  <c r="S34"/>
  <c r="S21" i="9" s="1"/>
  <c r="T34" i="8"/>
  <c r="T21" i="9" s="1"/>
  <c r="U36" i="8"/>
  <c r="U37"/>
  <c r="U38"/>
  <c r="U24" i="9"/>
  <c r="U25"/>
  <c r="U23"/>
  <c r="U39" i="8"/>
  <c r="S26" i="9"/>
  <c r="U26" s="1"/>
  <c r="S26" i="8"/>
  <c r="S13" i="9" s="1"/>
  <c r="T26" i="8"/>
  <c r="T13" i="9" s="1"/>
  <c r="C23" i="8"/>
  <c r="C24"/>
  <c r="BI16" s="1"/>
  <c r="A2" i="7"/>
  <c r="S23" i="8" l="1"/>
  <c r="BG15"/>
  <c r="BI18"/>
  <c r="BH18"/>
  <c r="BG19"/>
  <c r="BJ19"/>
  <c r="BL18"/>
  <c r="BK18"/>
  <c r="C11" i="9"/>
  <c r="BK16" i="8"/>
  <c r="BL16"/>
  <c r="BH16"/>
  <c r="U21" i="9"/>
  <c r="U34" i="8"/>
  <c r="U13" i="9"/>
  <c r="U26" i="8"/>
  <c r="C10" i="9"/>
  <c r="T23" i="8"/>
  <c r="T24"/>
  <c r="T11" i="9" s="1"/>
  <c r="S24" i="8"/>
  <c r="S11" i="9" s="1"/>
  <c r="D24" i="8"/>
  <c r="H24"/>
  <c r="C33"/>
  <c r="C27"/>
  <c r="C30"/>
  <c r="C29"/>
  <c r="C25"/>
  <c r="C32"/>
  <c r="C28"/>
  <c r="C31"/>
  <c r="A23"/>
  <c r="B23" s="1"/>
  <c r="BJ15"/>
  <c r="M29" i="6"/>
  <c r="M22"/>
  <c r="L23" i="7"/>
  <c r="E30"/>
  <c r="L21"/>
  <c r="L28"/>
  <c r="M27" i="6"/>
  <c r="M28"/>
  <c r="M21"/>
  <c r="D28"/>
  <c r="Z2" i="7"/>
  <c r="M14"/>
  <c r="N14" s="1"/>
  <c r="L14"/>
  <c r="K14"/>
  <c r="J14"/>
  <c r="I14"/>
  <c r="H14"/>
  <c r="F14"/>
  <c r="L25"/>
  <c r="G14"/>
  <c r="D14"/>
  <c r="B14"/>
  <c r="Z2" i="6"/>
  <c r="L13"/>
  <c r="O13" s="1"/>
  <c r="I13"/>
  <c r="K13"/>
  <c r="H13"/>
  <c r="F13"/>
  <c r="G13"/>
  <c r="D13"/>
  <c r="B13"/>
  <c r="D31" i="4"/>
  <c r="I27"/>
  <c r="I24"/>
  <c r="I25"/>
  <c r="I15"/>
  <c r="I14"/>
  <c r="I23"/>
  <c r="I13"/>
  <c r="D4"/>
  <c r="D8"/>
  <c r="E29" i="6"/>
  <c r="K24"/>
  <c r="C5" i="5"/>
  <c r="A2" i="6"/>
  <c r="C12" i="2"/>
  <c r="C64" s="1"/>
  <c r="H10" i="5"/>
  <c r="C6"/>
  <c r="E12" i="2"/>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F12"/>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G12"/>
  <c r="G13" s="1"/>
  <c r="G14" s="1"/>
  <c r="G15" s="1"/>
  <c r="G16" s="1"/>
  <c r="G17" s="1"/>
  <c r="G18" s="1"/>
  <c r="G19" s="1"/>
  <c r="G20" s="1"/>
  <c r="G21" s="1"/>
  <c r="G22" s="1"/>
  <c r="G23" s="1"/>
  <c r="G24" s="1"/>
  <c r="G25" s="1"/>
  <c r="G26" s="1"/>
  <c r="G27" s="1"/>
  <c r="G28" s="1"/>
  <c r="G29" s="1"/>
  <c r="G30" s="1"/>
  <c r="G31" s="1"/>
  <c r="G32" s="1"/>
  <c r="G33" s="1"/>
  <c r="G34" s="1"/>
  <c r="G35" s="1"/>
  <c r="G36" s="1"/>
  <c r="G37" s="1"/>
  <c r="G38" s="1"/>
  <c r="G39" s="1"/>
  <c r="G40" s="1"/>
  <c r="G41" s="1"/>
  <c r="G42" s="1"/>
  <c r="G43" s="1"/>
  <c r="G44" s="1"/>
  <c r="G45" s="1"/>
  <c r="G46" s="1"/>
  <c r="G47" s="1"/>
  <c r="G48" s="1"/>
  <c r="G49" s="1"/>
  <c r="G50" s="1"/>
  <c r="H12"/>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 r="H50" s="1"/>
  <c r="I12"/>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J12"/>
  <c r="J13" s="1"/>
  <c r="J14" s="1"/>
  <c r="J15" s="1"/>
  <c r="J16" s="1"/>
  <c r="J17" s="1"/>
  <c r="J18" s="1"/>
  <c r="J19" s="1"/>
  <c r="J20" s="1"/>
  <c r="J21" s="1"/>
  <c r="J22" s="1"/>
  <c r="J23" s="1"/>
  <c r="J24" s="1"/>
  <c r="J25" s="1"/>
  <c r="J26" s="1"/>
  <c r="J27" s="1"/>
  <c r="J28" s="1"/>
  <c r="J29" s="1"/>
  <c r="J30" s="1"/>
  <c r="J31" s="1"/>
  <c r="J32" s="1"/>
  <c r="J33" s="1"/>
  <c r="J34" s="1"/>
  <c r="J35" s="1"/>
  <c r="J36" s="1"/>
  <c r="J37" s="1"/>
  <c r="J38" s="1"/>
  <c r="J39" s="1"/>
  <c r="J40" s="1"/>
  <c r="J41" s="1"/>
  <c r="J42" s="1"/>
  <c r="J43" s="1"/>
  <c r="J44" s="1"/>
  <c r="J45" s="1"/>
  <c r="J46" s="1"/>
  <c r="J47" s="1"/>
  <c r="J48" s="1"/>
  <c r="J49" s="1"/>
  <c r="J50" s="1"/>
  <c r="K12"/>
  <c r="K13" s="1"/>
  <c r="K14" s="1"/>
  <c r="K15" s="1"/>
  <c r="K16" s="1"/>
  <c r="K17" s="1"/>
  <c r="K18" s="1"/>
  <c r="K19" s="1"/>
  <c r="K20" s="1"/>
  <c r="K21" s="1"/>
  <c r="K22" s="1"/>
  <c r="K23" s="1"/>
  <c r="K24" s="1"/>
  <c r="K25" s="1"/>
  <c r="K26" s="1"/>
  <c r="K27" s="1"/>
  <c r="K28" s="1"/>
  <c r="K29" s="1"/>
  <c r="K30" s="1"/>
  <c r="K31" s="1"/>
  <c r="K32" s="1"/>
  <c r="K33" s="1"/>
  <c r="K34" s="1"/>
  <c r="K35" s="1"/>
  <c r="K36" s="1"/>
  <c r="K37" s="1"/>
  <c r="K38" s="1"/>
  <c r="K39" s="1"/>
  <c r="K40" s="1"/>
  <c r="K41" s="1"/>
  <c r="K42" s="1"/>
  <c r="K43" s="1"/>
  <c r="K44" s="1"/>
  <c r="K45" s="1"/>
  <c r="K46" s="1"/>
  <c r="K47" s="1"/>
  <c r="K48" s="1"/>
  <c r="K49" s="1"/>
  <c r="K50" s="1"/>
  <c r="L12"/>
  <c r="M12"/>
  <c r="M13" s="1"/>
  <c r="M14" s="1"/>
  <c r="M15" s="1"/>
  <c r="M16" s="1"/>
  <c r="M17" s="1"/>
  <c r="M18" s="1"/>
  <c r="M19" s="1"/>
  <c r="M20" s="1"/>
  <c r="M21" s="1"/>
  <c r="M22" s="1"/>
  <c r="M23" s="1"/>
  <c r="M24" s="1"/>
  <c r="M25" s="1"/>
  <c r="M26" s="1"/>
  <c r="M27" s="1"/>
  <c r="M28" s="1"/>
  <c r="M29" s="1"/>
  <c r="M30" s="1"/>
  <c r="M31" s="1"/>
  <c r="M32" s="1"/>
  <c r="M33" s="1"/>
  <c r="M34" s="1"/>
  <c r="M35" s="1"/>
  <c r="M36" s="1"/>
  <c r="M37" s="1"/>
  <c r="M38" s="1"/>
  <c r="M39" s="1"/>
  <c r="M40" s="1"/>
  <c r="M41" s="1"/>
  <c r="M42" s="1"/>
  <c r="M43" s="1"/>
  <c r="M44" s="1"/>
  <c r="M45" s="1"/>
  <c r="M46" s="1"/>
  <c r="M47" s="1"/>
  <c r="M48" s="1"/>
  <c r="M49" s="1"/>
  <c r="M50" s="1"/>
  <c r="N12"/>
  <c r="N13" s="1"/>
  <c r="N14" s="1"/>
  <c r="N15" s="1"/>
  <c r="N16" s="1"/>
  <c r="N17" s="1"/>
  <c r="N18" s="1"/>
  <c r="N19" s="1"/>
  <c r="N20" s="1"/>
  <c r="N21" s="1"/>
  <c r="N22" s="1"/>
  <c r="N23" s="1"/>
  <c r="N24" s="1"/>
  <c r="N25" s="1"/>
  <c r="N26" s="1"/>
  <c r="N27" s="1"/>
  <c r="N28" s="1"/>
  <c r="N29" s="1"/>
  <c r="N30" s="1"/>
  <c r="N31" s="1"/>
  <c r="N32" s="1"/>
  <c r="N33" s="1"/>
  <c r="N34" s="1"/>
  <c r="N35" s="1"/>
  <c r="N36" s="1"/>
  <c r="N37" s="1"/>
  <c r="N38" s="1"/>
  <c r="N39" s="1"/>
  <c r="N40" s="1"/>
  <c r="N41" s="1"/>
  <c r="N42" s="1"/>
  <c r="N43" s="1"/>
  <c r="N44" s="1"/>
  <c r="N45" s="1"/>
  <c r="N46" s="1"/>
  <c r="N47" s="1"/>
  <c r="N48" s="1"/>
  <c r="N49" s="1"/>
  <c r="N50" s="1"/>
  <c r="O12"/>
  <c r="O13" s="1"/>
  <c r="O14" s="1"/>
  <c r="O15" s="1"/>
  <c r="O16" s="1"/>
  <c r="O17" s="1"/>
  <c r="O18" s="1"/>
  <c r="O19" s="1"/>
  <c r="O20" s="1"/>
  <c r="O21" s="1"/>
  <c r="O22" s="1"/>
  <c r="O23" s="1"/>
  <c r="O24" s="1"/>
  <c r="O25" s="1"/>
  <c r="O26" s="1"/>
  <c r="O27" s="1"/>
  <c r="O28" s="1"/>
  <c r="O29" s="1"/>
  <c r="O30" s="1"/>
  <c r="O31" s="1"/>
  <c r="O32" s="1"/>
  <c r="O33" s="1"/>
  <c r="O34" s="1"/>
  <c r="O35" s="1"/>
  <c r="O36" s="1"/>
  <c r="O37" s="1"/>
  <c r="O38" s="1"/>
  <c r="O39" s="1"/>
  <c r="O40" s="1"/>
  <c r="O41" s="1"/>
  <c r="O42" s="1"/>
  <c r="O43" s="1"/>
  <c r="O44" s="1"/>
  <c r="O45" s="1"/>
  <c r="O46" s="1"/>
  <c r="O47" s="1"/>
  <c r="O48" s="1"/>
  <c r="O49" s="1"/>
  <c r="O50" s="1"/>
  <c r="P12"/>
  <c r="P13" s="1"/>
  <c r="P14" s="1"/>
  <c r="P15" s="1"/>
  <c r="P16" s="1"/>
  <c r="P17" s="1"/>
  <c r="P18" s="1"/>
  <c r="P19" s="1"/>
  <c r="P20" s="1"/>
  <c r="P21" s="1"/>
  <c r="P22" s="1"/>
  <c r="P23" s="1"/>
  <c r="P24" s="1"/>
  <c r="P25" s="1"/>
  <c r="P26" s="1"/>
  <c r="P27" s="1"/>
  <c r="P28" s="1"/>
  <c r="P29" s="1"/>
  <c r="P30" s="1"/>
  <c r="P31" s="1"/>
  <c r="P32" s="1"/>
  <c r="P33" s="1"/>
  <c r="P34" s="1"/>
  <c r="P35" s="1"/>
  <c r="P36" s="1"/>
  <c r="P37" s="1"/>
  <c r="P38" s="1"/>
  <c r="P39" s="1"/>
  <c r="P40" s="1"/>
  <c r="P41" s="1"/>
  <c r="P42" s="1"/>
  <c r="P43" s="1"/>
  <c r="P44" s="1"/>
  <c r="P45" s="1"/>
  <c r="P46" s="1"/>
  <c r="P47" s="1"/>
  <c r="P48" s="1"/>
  <c r="P49" s="1"/>
  <c r="P50" s="1"/>
  <c r="Q12"/>
  <c r="Q13" s="1"/>
  <c r="Q14" s="1"/>
  <c r="Q15" s="1"/>
  <c r="Q16" s="1"/>
  <c r="Q17" s="1"/>
  <c r="Q18" s="1"/>
  <c r="Q19" s="1"/>
  <c r="Q20" s="1"/>
  <c r="Q21" s="1"/>
  <c r="Q22" s="1"/>
  <c r="Q23" s="1"/>
  <c r="Q24" s="1"/>
  <c r="Q25" s="1"/>
  <c r="Q26" s="1"/>
  <c r="Q27" s="1"/>
  <c r="Q28" s="1"/>
  <c r="Q29" s="1"/>
  <c r="Q30" s="1"/>
  <c r="Q31" s="1"/>
  <c r="Q32" s="1"/>
  <c r="Q33" s="1"/>
  <c r="Q34" s="1"/>
  <c r="Q35" s="1"/>
  <c r="Q36" s="1"/>
  <c r="Q37" s="1"/>
  <c r="Q38" s="1"/>
  <c r="Q39" s="1"/>
  <c r="Q40" s="1"/>
  <c r="Q41" s="1"/>
  <c r="Q42" s="1"/>
  <c r="Q43" s="1"/>
  <c r="Q44" s="1"/>
  <c r="Q45" s="1"/>
  <c r="Q46" s="1"/>
  <c r="Q47" s="1"/>
  <c r="Q48" s="1"/>
  <c r="Q49" s="1"/>
  <c r="Q50" s="1"/>
  <c r="R12"/>
  <c r="R13" s="1"/>
  <c r="R14" s="1"/>
  <c r="R15" s="1"/>
  <c r="R16" s="1"/>
  <c r="R17" s="1"/>
  <c r="R18" s="1"/>
  <c r="R19" s="1"/>
  <c r="R20" s="1"/>
  <c r="R21" s="1"/>
  <c r="R22" s="1"/>
  <c r="R23" s="1"/>
  <c r="R24" s="1"/>
  <c r="R25" s="1"/>
  <c r="R26" s="1"/>
  <c r="R27" s="1"/>
  <c r="R28" s="1"/>
  <c r="R29" s="1"/>
  <c r="R30" s="1"/>
  <c r="R31" s="1"/>
  <c r="R32" s="1"/>
  <c r="R33" s="1"/>
  <c r="R34" s="1"/>
  <c r="R35" s="1"/>
  <c r="R36" s="1"/>
  <c r="R37" s="1"/>
  <c r="R38" s="1"/>
  <c r="R39" s="1"/>
  <c r="R40" s="1"/>
  <c r="R41" s="1"/>
  <c r="R42" s="1"/>
  <c r="R43" s="1"/>
  <c r="R44" s="1"/>
  <c r="R45" s="1"/>
  <c r="R46" s="1"/>
  <c r="R47" s="1"/>
  <c r="S12"/>
  <c r="S13" s="1"/>
  <c r="S14" s="1"/>
  <c r="S15" s="1"/>
  <c r="S16" s="1"/>
  <c r="S17" s="1"/>
  <c r="S18" s="1"/>
  <c r="S19" s="1"/>
  <c r="S20" s="1"/>
  <c r="S21" s="1"/>
  <c r="S22" s="1"/>
  <c r="S23" s="1"/>
  <c r="S24" s="1"/>
  <c r="S25" s="1"/>
  <c r="S26" s="1"/>
  <c r="S27" s="1"/>
  <c r="S28" s="1"/>
  <c r="S29" s="1"/>
  <c r="S30" s="1"/>
  <c r="S31" s="1"/>
  <c r="S32" s="1"/>
  <c r="S33" s="1"/>
  <c r="S34" s="1"/>
  <c r="S35" s="1"/>
  <c r="S36" s="1"/>
  <c r="S37" s="1"/>
  <c r="S38" s="1"/>
  <c r="S39" s="1"/>
  <c r="S40" s="1"/>
  <c r="S41" s="1"/>
  <c r="S42" s="1"/>
  <c r="S43" s="1"/>
  <c r="S44" s="1"/>
  <c r="S45" s="1"/>
  <c r="S46" s="1"/>
  <c r="T12"/>
  <c r="T13" s="1"/>
  <c r="T14" s="1"/>
  <c r="T15" s="1"/>
  <c r="T16" s="1"/>
  <c r="T17" s="1"/>
  <c r="T18" s="1"/>
  <c r="T19" s="1"/>
  <c r="T20" s="1"/>
  <c r="T21" s="1"/>
  <c r="T22" s="1"/>
  <c r="T23" s="1"/>
  <c r="T24" s="1"/>
  <c r="T25" s="1"/>
  <c r="T26" s="1"/>
  <c r="T27" s="1"/>
  <c r="T28" s="1"/>
  <c r="T29" s="1"/>
  <c r="T30" s="1"/>
  <c r="T31" s="1"/>
  <c r="T32" s="1"/>
  <c r="T33" s="1"/>
  <c r="T34" s="1"/>
  <c r="T35" s="1"/>
  <c r="T36" s="1"/>
  <c r="T37" s="1"/>
  <c r="T38" s="1"/>
  <c r="T39" s="1"/>
  <c r="T40" s="1"/>
  <c r="T41" s="1"/>
  <c r="T42" s="1"/>
  <c r="T43" s="1"/>
  <c r="T44" s="1"/>
  <c r="U12"/>
  <c r="U13" s="1"/>
  <c r="U14" s="1"/>
  <c r="U15" s="1"/>
  <c r="U16" s="1"/>
  <c r="U17" s="1"/>
  <c r="U18" s="1"/>
  <c r="U19" s="1"/>
  <c r="U20" s="1"/>
  <c r="U21" s="1"/>
  <c r="U22" s="1"/>
  <c r="U23" s="1"/>
  <c r="U24" s="1"/>
  <c r="U25" s="1"/>
  <c r="U26" s="1"/>
  <c r="U27" s="1"/>
  <c r="U28" s="1"/>
  <c r="U29" s="1"/>
  <c r="U30" s="1"/>
  <c r="U31" s="1"/>
  <c r="U32" s="1"/>
  <c r="U33" s="1"/>
  <c r="U34" s="1"/>
  <c r="U35" s="1"/>
  <c r="U36" s="1"/>
  <c r="U37" s="1"/>
  <c r="U38" s="1"/>
  <c r="U39" s="1"/>
  <c r="U40" s="1"/>
  <c r="U41" s="1"/>
  <c r="U42" s="1"/>
  <c r="V12"/>
  <c r="V13" s="1"/>
  <c r="V14" s="1"/>
  <c r="V15" s="1"/>
  <c r="V16" s="1"/>
  <c r="V17" s="1"/>
  <c r="V18" s="1"/>
  <c r="V19" s="1"/>
  <c r="V20" s="1"/>
  <c r="V21" s="1"/>
  <c r="V22" s="1"/>
  <c r="V23" s="1"/>
  <c r="V24" s="1"/>
  <c r="V25" s="1"/>
  <c r="V26" s="1"/>
  <c r="V27" s="1"/>
  <c r="V28" s="1"/>
  <c r="V29" s="1"/>
  <c r="V30" s="1"/>
  <c r="V31" s="1"/>
  <c r="V32" s="1"/>
  <c r="V33" s="1"/>
  <c r="V34" s="1"/>
  <c r="V35" s="1"/>
  <c r="V36" s="1"/>
  <c r="V37" s="1"/>
  <c r="V38" s="1"/>
  <c r="V39" s="1"/>
  <c r="W12"/>
  <c r="W13" s="1"/>
  <c r="W14" s="1"/>
  <c r="W15" s="1"/>
  <c r="W16" s="1"/>
  <c r="W17" s="1"/>
  <c r="W18" s="1"/>
  <c r="W19" s="1"/>
  <c r="W20" s="1"/>
  <c r="W21" s="1"/>
  <c r="W22" s="1"/>
  <c r="W23" s="1"/>
  <c r="W24" s="1"/>
  <c r="W25" s="1"/>
  <c r="W26" s="1"/>
  <c r="W27" s="1"/>
  <c r="W28" s="1"/>
  <c r="X12"/>
  <c r="X13" s="1"/>
  <c r="X14" s="1"/>
  <c r="X15" s="1"/>
  <c r="X16" s="1"/>
  <c r="X17" s="1"/>
  <c r="X18" s="1"/>
  <c r="X19" s="1"/>
  <c r="X20" s="1"/>
  <c r="X21" s="1"/>
  <c r="X22" s="1"/>
  <c r="X23" s="1"/>
  <c r="X24" s="1"/>
  <c r="X25" s="1"/>
  <c r="X26" s="1"/>
  <c r="X27" s="1"/>
  <c r="Y12"/>
  <c r="Y13" s="1"/>
  <c r="Y14" s="1"/>
  <c r="Y15" s="1"/>
  <c r="Y16" s="1"/>
  <c r="Y17" s="1"/>
  <c r="Y18" s="1"/>
  <c r="Y19" s="1"/>
  <c r="Y20" s="1"/>
  <c r="Y21" s="1"/>
  <c r="Y22" s="1"/>
  <c r="Y23" s="1"/>
  <c r="Y24" s="1"/>
  <c r="Z12"/>
  <c r="Z13" s="1"/>
  <c r="Z14" s="1"/>
  <c r="Z15" s="1"/>
  <c r="Z16" s="1"/>
  <c r="Z17" s="1"/>
  <c r="Z18" s="1"/>
  <c r="Z19" s="1"/>
  <c r="Z20" s="1"/>
  <c r="Z21" s="1"/>
  <c r="Z22" s="1"/>
  <c r="Z23" s="1"/>
  <c r="Z24" s="1"/>
  <c r="C13"/>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D12"/>
  <c r="D13" s="1"/>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V15" i="1"/>
  <c r="V16" s="1"/>
  <c r="V17" s="1"/>
  <c r="I35" s="1"/>
  <c r="W15"/>
  <c r="W16" s="1"/>
  <c r="W17" s="1"/>
  <c r="N35" s="1"/>
  <c r="J27"/>
  <c r="O27" s="1"/>
  <c r="J25"/>
  <c r="O25" s="1"/>
  <c r="J23"/>
  <c r="O23" s="1"/>
  <c r="O19"/>
  <c r="R19" s="1"/>
  <c r="O17"/>
  <c r="R17" s="1"/>
  <c r="S10" i="9" l="1"/>
  <c r="T10"/>
  <c r="U10"/>
  <c r="BK17" i="8"/>
  <c r="BH17"/>
  <c r="BL17"/>
  <c r="BI17"/>
  <c r="BG20"/>
  <c r="BI19"/>
  <c r="BH19"/>
  <c r="BJ20"/>
  <c r="BL19"/>
  <c r="BK19"/>
  <c r="BI15"/>
  <c r="BL15"/>
  <c r="C18" i="9"/>
  <c r="C20"/>
  <c r="C14"/>
  <c r="C19"/>
  <c r="C17"/>
  <c r="C15"/>
  <c r="C16"/>
  <c r="U23" i="8"/>
  <c r="C12" i="9"/>
  <c r="A24" i="8"/>
  <c r="B24" s="1"/>
  <c r="B11" i="9" s="1"/>
  <c r="B10"/>
  <c r="Q24" i="8"/>
  <c r="Q11" i="9" s="1"/>
  <c r="H11"/>
  <c r="U11"/>
  <c r="P24" i="8"/>
  <c r="P11" i="9" s="1"/>
  <c r="D11"/>
  <c r="I33" i="1"/>
  <c r="I31"/>
  <c r="N33"/>
  <c r="N31"/>
  <c r="F24" i="8"/>
  <c r="F11" i="9" s="1"/>
  <c r="E24" i="8"/>
  <c r="E11" i="9" s="1"/>
  <c r="T28" i="8"/>
  <c r="T15" i="9" s="1"/>
  <c r="S28" i="8"/>
  <c r="S15" i="9" s="1"/>
  <c r="S29" i="8"/>
  <c r="S16" i="9" s="1"/>
  <c r="T29" i="8"/>
  <c r="T16" i="9" s="1"/>
  <c r="U24" i="8"/>
  <c r="BH15"/>
  <c r="D23"/>
  <c r="T25"/>
  <c r="T12" i="9" s="1"/>
  <c r="S25" i="8"/>
  <c r="S12" i="9" s="1"/>
  <c r="T32" i="8"/>
  <c r="T19" i="9" s="1"/>
  <c r="S32" i="8"/>
  <c r="S19" i="9" s="1"/>
  <c r="S27" i="8"/>
  <c r="S14" i="9" s="1"/>
  <c r="T27" i="8"/>
  <c r="T14" i="9" s="1"/>
  <c r="H23" i="8"/>
  <c r="S31"/>
  <c r="S18" i="9" s="1"/>
  <c r="T31" i="8"/>
  <c r="T18" i="9" s="1"/>
  <c r="T30" i="8"/>
  <c r="T17" i="9" s="1"/>
  <c r="S30" i="8"/>
  <c r="S17" i="9" s="1"/>
  <c r="T33" i="8"/>
  <c r="T20" i="9" s="1"/>
  <c r="S33" i="8"/>
  <c r="S20" i="9" s="1"/>
  <c r="L24" i="8"/>
  <c r="L11" i="9" s="1"/>
  <c r="H25" i="8"/>
  <c r="J24"/>
  <c r="J11" i="9" s="1"/>
  <c r="I24" i="8"/>
  <c r="I11" i="9" s="1"/>
  <c r="D25" i="8"/>
  <c r="D12" i="9" s="1"/>
  <c r="BK15" i="8"/>
  <c r="O14" i="7"/>
  <c r="N13" i="6"/>
  <c r="D64" i="2"/>
  <c r="H64"/>
  <c r="P64"/>
  <c r="T64"/>
  <c r="X64"/>
  <c r="D65"/>
  <c r="D68" s="1"/>
  <c r="H65"/>
  <c r="H68" s="1"/>
  <c r="R65"/>
  <c r="V65"/>
  <c r="V68" s="1"/>
  <c r="Z65"/>
  <c r="Z68" s="1"/>
  <c r="M65"/>
  <c r="G64"/>
  <c r="K64"/>
  <c r="O64"/>
  <c r="S64"/>
  <c r="W64"/>
  <c r="C65"/>
  <c r="C68" s="1"/>
  <c r="G65"/>
  <c r="G68" s="1"/>
  <c r="K65"/>
  <c r="P65"/>
  <c r="U65"/>
  <c r="U68" s="1"/>
  <c r="Y65"/>
  <c r="Y68" s="1"/>
  <c r="F64"/>
  <c r="J64"/>
  <c r="N64"/>
  <c r="R64"/>
  <c r="V64"/>
  <c r="Z64"/>
  <c r="F65"/>
  <c r="F68" s="1"/>
  <c r="J65"/>
  <c r="O65"/>
  <c r="O68" s="1"/>
  <c r="T65"/>
  <c r="T68" s="1"/>
  <c r="X65"/>
  <c r="X68" s="1"/>
  <c r="Q69"/>
  <c r="E64"/>
  <c r="I64"/>
  <c r="M64"/>
  <c r="Q64"/>
  <c r="U64"/>
  <c r="Y64"/>
  <c r="E65"/>
  <c r="E68" s="1"/>
  <c r="I65"/>
  <c r="I68" s="1"/>
  <c r="N65"/>
  <c r="S65"/>
  <c r="S68" s="1"/>
  <c r="W65"/>
  <c r="W68" s="1"/>
  <c r="Q65"/>
  <c r="Q68" s="1"/>
  <c r="L13"/>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L45" s="1"/>
  <c r="L46" s="1"/>
  <c r="L47" s="1"/>
  <c r="L48" s="1"/>
  <c r="L49" s="1"/>
  <c r="L50" s="1"/>
  <c r="S56" i="8" l="1"/>
  <c r="H10" i="9"/>
  <c r="T56" i="8"/>
  <c r="BJ21"/>
  <c r="BL20"/>
  <c r="BK20"/>
  <c r="BG21"/>
  <c r="BI20"/>
  <c r="BH20"/>
  <c r="A25"/>
  <c r="B25" s="1"/>
  <c r="D10" i="9"/>
  <c r="U18"/>
  <c r="U19"/>
  <c r="U20"/>
  <c r="H26" i="8"/>
  <c r="H13" i="9" s="1"/>
  <c r="R11"/>
  <c r="U17"/>
  <c r="U16"/>
  <c r="U14"/>
  <c r="U12"/>
  <c r="G11"/>
  <c r="R24" i="8"/>
  <c r="K11" i="9"/>
  <c r="T43"/>
  <c r="S43"/>
  <c r="Q25" i="8"/>
  <c r="Q12" i="9" s="1"/>
  <c r="H12"/>
  <c r="U15"/>
  <c r="E23" i="8"/>
  <c r="K59" i="2"/>
  <c r="I59"/>
  <c r="N24" i="8"/>
  <c r="N11" i="9" s="1"/>
  <c r="G24" i="8"/>
  <c r="M24"/>
  <c r="M11" i="9" s="1"/>
  <c r="U31" i="8"/>
  <c r="U33"/>
  <c r="U32"/>
  <c r="U25"/>
  <c r="U56" s="1"/>
  <c r="F23"/>
  <c r="U30"/>
  <c r="L25"/>
  <c r="L12" i="9" s="1"/>
  <c r="H27" i="8"/>
  <c r="U28"/>
  <c r="J23"/>
  <c r="U27"/>
  <c r="Q23"/>
  <c r="I23"/>
  <c r="E25"/>
  <c r="E12" i="9" s="1"/>
  <c r="P25" i="8"/>
  <c r="P23"/>
  <c r="L23"/>
  <c r="U29"/>
  <c r="K24"/>
  <c r="J25"/>
  <c r="J12" i="9" s="1"/>
  <c r="I25" i="8"/>
  <c r="I12" i="9" s="1"/>
  <c r="F25" i="8"/>
  <c r="F12" i="9" s="1"/>
  <c r="D26" i="8"/>
  <c r="D13" i="9" s="1"/>
  <c r="N68" i="2"/>
  <c r="N69"/>
  <c r="P68"/>
  <c r="P69"/>
  <c r="L64"/>
  <c r="K58"/>
  <c r="M70"/>
  <c r="M71"/>
  <c r="N72"/>
  <c r="M68"/>
  <c r="N71"/>
  <c r="N73"/>
  <c r="I62" s="1"/>
  <c r="L65"/>
  <c r="L68" s="1"/>
  <c r="J68"/>
  <c r="J69"/>
  <c r="R68"/>
  <c r="R69"/>
  <c r="I58"/>
  <c r="K68"/>
  <c r="L10" i="9" l="1"/>
  <c r="J10"/>
  <c r="P10"/>
  <c r="Q10"/>
  <c r="F10"/>
  <c r="I10"/>
  <c r="K10" s="1"/>
  <c r="E10"/>
  <c r="BG22" i="8"/>
  <c r="BH21"/>
  <c r="BI21"/>
  <c r="BJ22"/>
  <c r="BL21"/>
  <c r="BK21"/>
  <c r="Q26"/>
  <c r="Q13" i="9" s="1"/>
  <c r="I26" i="8"/>
  <c r="I13" i="9" s="1"/>
  <c r="J26" i="8"/>
  <c r="J13" i="9" s="1"/>
  <c r="O11"/>
  <c r="G12"/>
  <c r="K12"/>
  <c r="U43"/>
  <c r="A26" i="8"/>
  <c r="B26" s="1"/>
  <c r="B12" i="9"/>
  <c r="R25" i="8"/>
  <c r="P12" i="9"/>
  <c r="R12" s="1"/>
  <c r="Q27" i="8"/>
  <c r="Q14" i="9" s="1"/>
  <c r="H14"/>
  <c r="N23" i="8"/>
  <c r="O24"/>
  <c r="V24" s="1"/>
  <c r="M23"/>
  <c r="G23"/>
  <c r="K23"/>
  <c r="I27"/>
  <c r="I14" i="9" s="1"/>
  <c r="J27" i="8"/>
  <c r="J14" i="9" s="1"/>
  <c r="K25" i="8"/>
  <c r="R23"/>
  <c r="P26"/>
  <c r="L26"/>
  <c r="L13" i="9" s="1"/>
  <c r="G25" i="8"/>
  <c r="N25"/>
  <c r="N12" i="9" s="1"/>
  <c r="M25" i="8"/>
  <c r="M12" i="9" s="1"/>
  <c r="E26" i="8"/>
  <c r="F26"/>
  <c r="D27"/>
  <c r="D14" i="9" s="1"/>
  <c r="R10" l="1"/>
  <c r="N10"/>
  <c r="G10"/>
  <c r="M10"/>
  <c r="BJ23" i="8"/>
  <c r="BL22"/>
  <c r="BK22"/>
  <c r="BG23"/>
  <c r="BI22"/>
  <c r="BH22"/>
  <c r="K13" i="9"/>
  <c r="K26" i="8"/>
  <c r="H28"/>
  <c r="H29"/>
  <c r="H16" i="9" s="1"/>
  <c r="O12"/>
  <c r="O10"/>
  <c r="A27" i="8"/>
  <c r="B27" s="1"/>
  <c r="B13" i="9"/>
  <c r="M26" i="8"/>
  <c r="M13" i="9" s="1"/>
  <c r="E13"/>
  <c r="N26" i="8"/>
  <c r="N13" i="9" s="1"/>
  <c r="F13"/>
  <c r="X24" i="8"/>
  <c r="Y24" s="1"/>
  <c r="Z24" s="1"/>
  <c r="V11" i="9"/>
  <c r="X11" s="1"/>
  <c r="Y11" s="1"/>
  <c r="Z11" s="1"/>
  <c r="R26" i="8"/>
  <c r="P13" i="9"/>
  <c r="K14"/>
  <c r="O23" i="8"/>
  <c r="K27"/>
  <c r="O25"/>
  <c r="V25" s="1"/>
  <c r="P27"/>
  <c r="P14" i="9" s="1"/>
  <c r="R14" s="1"/>
  <c r="L27" i="8"/>
  <c r="L14" i="9" s="1"/>
  <c r="G26" i="8"/>
  <c r="D28"/>
  <c r="D15" i="9" s="1"/>
  <c r="F27" i="8"/>
  <c r="E27"/>
  <c r="Q28" l="1"/>
  <c r="V23"/>
  <c r="BG24"/>
  <c r="BI23"/>
  <c r="BH23"/>
  <c r="BJ24"/>
  <c r="BL23"/>
  <c r="BK23"/>
  <c r="H15" i="9"/>
  <c r="I29" i="8"/>
  <c r="I16" i="9" s="1"/>
  <c r="J28" i="8"/>
  <c r="I28"/>
  <c r="Q29"/>
  <c r="Q16" i="9" s="1"/>
  <c r="J29" i="8"/>
  <c r="J16" i="9" s="1"/>
  <c r="H30" i="8"/>
  <c r="H17" i="9" s="1"/>
  <c r="O13"/>
  <c r="M27" i="8"/>
  <c r="E14" i="9"/>
  <c r="G13"/>
  <c r="X25" i="8"/>
  <c r="Y25" s="1"/>
  <c r="Z25" s="1"/>
  <c r="V12" i="9"/>
  <c r="X12" s="1"/>
  <c r="Y12" s="1"/>
  <c r="Z12" s="1"/>
  <c r="A28" i="8"/>
  <c r="B28" s="1"/>
  <c r="B14" i="9"/>
  <c r="N27" i="8"/>
  <c r="N14" i="9" s="1"/>
  <c r="F14"/>
  <c r="R13"/>
  <c r="P28" i="8"/>
  <c r="L28"/>
  <c r="L15" i="9" s="1"/>
  <c r="R27" i="8"/>
  <c r="H31"/>
  <c r="H18" i="9" s="1"/>
  <c r="O26" i="8"/>
  <c r="G27"/>
  <c r="O27" s="1"/>
  <c r="F28"/>
  <c r="E28"/>
  <c r="D29"/>
  <c r="D16" i="9" s="1"/>
  <c r="Q15" l="1"/>
  <c r="J15"/>
  <c r="M14"/>
  <c r="O14" s="1"/>
  <c r="V10"/>
  <c r="X10" s="1"/>
  <c r="Y10" s="1"/>
  <c r="Z10" s="1"/>
  <c r="X23" i="8"/>
  <c r="BJ25"/>
  <c r="BL24"/>
  <c r="BK24"/>
  <c r="BG25"/>
  <c r="BI24"/>
  <c r="BH24"/>
  <c r="K16" i="9"/>
  <c r="K29" i="8"/>
  <c r="I30"/>
  <c r="I17" i="9" s="1"/>
  <c r="I15"/>
  <c r="K15" s="1"/>
  <c r="K28" i="8"/>
  <c r="Q30"/>
  <c r="Q17" i="9" s="1"/>
  <c r="J30" i="8"/>
  <c r="J17" i="9" s="1"/>
  <c r="G14"/>
  <c r="A29" i="8"/>
  <c r="B29" s="1"/>
  <c r="B15" i="9"/>
  <c r="M28" i="8"/>
  <c r="M15" i="9" s="1"/>
  <c r="E15"/>
  <c r="R28" i="8"/>
  <c r="P15" i="9"/>
  <c r="N28" i="8"/>
  <c r="N15" i="9" s="1"/>
  <c r="F15"/>
  <c r="I31" i="8"/>
  <c r="I18" i="9" s="1"/>
  <c r="J31" i="8"/>
  <c r="J18" i="9" s="1"/>
  <c r="P29" i="8"/>
  <c r="P16" i="9" s="1"/>
  <c r="R16" s="1"/>
  <c r="L29" i="8"/>
  <c r="L16" i="9" s="1"/>
  <c r="V27" i="8"/>
  <c r="H32"/>
  <c r="H19" i="9" s="1"/>
  <c r="Q31" i="8"/>
  <c r="Q18" i="9" s="1"/>
  <c r="Y23" i="8"/>
  <c r="V26"/>
  <c r="V13" i="9" s="1"/>
  <c r="X13" s="1"/>
  <c r="Y13" s="1"/>
  <c r="Z13" s="1"/>
  <c r="G28" i="8"/>
  <c r="D30"/>
  <c r="D17" i="9" s="1"/>
  <c r="F29" i="8"/>
  <c r="F16" i="9" s="1"/>
  <c r="E29" i="8"/>
  <c r="BG26" l="1"/>
  <c r="D34" s="1"/>
  <c r="BH25"/>
  <c r="BI25"/>
  <c r="BJ26"/>
  <c r="H34" s="1"/>
  <c r="H21" i="9" s="1"/>
  <c r="BL25" i="8"/>
  <c r="BK25"/>
  <c r="K17" i="9"/>
  <c r="K18"/>
  <c r="O28" i="8"/>
  <c r="K30"/>
  <c r="O15" i="9"/>
  <c r="A30" i="8"/>
  <c r="B30" s="1"/>
  <c r="B16" i="9"/>
  <c r="G15"/>
  <c r="X27" i="8"/>
  <c r="Y27" s="1"/>
  <c r="Z27" s="1"/>
  <c r="V14" i="9"/>
  <c r="X14" s="1"/>
  <c r="Y14" s="1"/>
  <c r="Z14" s="1"/>
  <c r="M29" i="8"/>
  <c r="M16" i="9" s="1"/>
  <c r="E16"/>
  <c r="G16" s="1"/>
  <c r="R15"/>
  <c r="K31" i="8"/>
  <c r="Q32"/>
  <c r="Q19" i="9" s="1"/>
  <c r="I32" i="8"/>
  <c r="I19" i="9" s="1"/>
  <c r="H33" i="8"/>
  <c r="H20" i="9" s="1"/>
  <c r="X26" i="8"/>
  <c r="P30"/>
  <c r="L30"/>
  <c r="L17" i="9" s="1"/>
  <c r="Z23" i="8"/>
  <c r="R29"/>
  <c r="G29"/>
  <c r="O29" s="1"/>
  <c r="N29"/>
  <c r="N16" i="9" s="1"/>
  <c r="J32" i="8"/>
  <c r="J19" i="9" s="1"/>
  <c r="D31" i="8"/>
  <c r="D18" i="9" s="1"/>
  <c r="E30" i="8"/>
  <c r="F30"/>
  <c r="V28" l="1"/>
  <c r="BJ27"/>
  <c r="H35" s="1"/>
  <c r="H22" i="9" s="1"/>
  <c r="BL26" i="8"/>
  <c r="J34" s="1"/>
  <c r="J21" i="9" s="1"/>
  <c r="BK26" i="8"/>
  <c r="Q34"/>
  <c r="Q21" i="9" s="1"/>
  <c r="BG27" i="8"/>
  <c r="D35" s="1"/>
  <c r="D22" i="9" s="1"/>
  <c r="BI26" i="8"/>
  <c r="F34" s="1"/>
  <c r="F21" i="9" s="1"/>
  <c r="BH26" i="8"/>
  <c r="E34" s="1"/>
  <c r="E21" i="9" s="1"/>
  <c r="L34" i="8"/>
  <c r="L21" i="9" s="1"/>
  <c r="D21"/>
  <c r="I34" i="8"/>
  <c r="I21" i="9" s="1"/>
  <c r="K19"/>
  <c r="I33" i="8"/>
  <c r="O16" i="9"/>
  <c r="N30" i="8"/>
  <c r="N17" i="9" s="1"/>
  <c r="F17"/>
  <c r="R30" i="8"/>
  <c r="P17" i="9"/>
  <c r="X28" i="8"/>
  <c r="Y28" s="1"/>
  <c r="Z28" s="1"/>
  <c r="V15" i="9"/>
  <c r="X15" s="1"/>
  <c r="Y15" s="1"/>
  <c r="Z15" s="1"/>
  <c r="M30" i="8"/>
  <c r="M17" i="9" s="1"/>
  <c r="E17"/>
  <c r="A31" i="8"/>
  <c r="B31" s="1"/>
  <c r="B18" i="9" s="1"/>
  <c r="B17"/>
  <c r="D32" i="8"/>
  <c r="D19" i="9" s="1"/>
  <c r="Q33" i="8"/>
  <c r="Q20" i="9" s="1"/>
  <c r="J33" i="8"/>
  <c r="J20" i="9" s="1"/>
  <c r="K32" i="8"/>
  <c r="P31"/>
  <c r="P18" i="9" s="1"/>
  <c r="R18" s="1"/>
  <c r="L31" i="8"/>
  <c r="L18" i="9" s="1"/>
  <c r="Y26" i="8"/>
  <c r="V29"/>
  <c r="V16" i="9" s="1"/>
  <c r="X16" s="1"/>
  <c r="Y16" s="1"/>
  <c r="G30" i="8"/>
  <c r="O30" s="1"/>
  <c r="F31"/>
  <c r="F18" i="9" s="1"/>
  <c r="E31" i="8"/>
  <c r="E18" i="9" s="1"/>
  <c r="I20" l="1"/>
  <c r="K20" s="1"/>
  <c r="BG28" i="8"/>
  <c r="D36" s="1"/>
  <c r="P35"/>
  <c r="BI27"/>
  <c r="F35" s="1"/>
  <c r="BH27"/>
  <c r="E35" s="1"/>
  <c r="E22" i="9" s="1"/>
  <c r="BJ28" i="8"/>
  <c r="H36" s="1"/>
  <c r="Q35"/>
  <c r="BL27"/>
  <c r="BK27"/>
  <c r="I35" s="1"/>
  <c r="J35"/>
  <c r="J22" i="9" s="1"/>
  <c r="L35" i="8"/>
  <c r="L22" i="9" s="1"/>
  <c r="K21"/>
  <c r="G34" i="8"/>
  <c r="N34"/>
  <c r="N21" i="9" s="1"/>
  <c r="K34" i="8"/>
  <c r="M34"/>
  <c r="M21" i="9" s="1"/>
  <c r="G18"/>
  <c r="G21"/>
  <c r="Z16"/>
  <c r="O17"/>
  <c r="A32" i="8"/>
  <c r="B32" s="1"/>
  <c r="K33"/>
  <c r="M31"/>
  <c r="P32"/>
  <c r="P19" i="9" s="1"/>
  <c r="R19" s="1"/>
  <c r="G17"/>
  <c r="N31" i="8"/>
  <c r="N18" i="9" s="1"/>
  <c r="R31" i="8"/>
  <c r="R17" i="9"/>
  <c r="D33" i="8"/>
  <c r="L32"/>
  <c r="L19" i="9" s="1"/>
  <c r="E32" i="8"/>
  <c r="E19" i="9" s="1"/>
  <c r="F32" i="8"/>
  <c r="F19" i="9" s="1"/>
  <c r="X29" i="8"/>
  <c r="Z26"/>
  <c r="V30"/>
  <c r="G31"/>
  <c r="O31" s="1"/>
  <c r="M18" i="9" l="1"/>
  <c r="O18" s="1"/>
  <c r="BJ29" i="8"/>
  <c r="H37" s="1"/>
  <c r="BL28"/>
  <c r="J36" s="1"/>
  <c r="BK28"/>
  <c r="Q36"/>
  <c r="BG29"/>
  <c r="D37" s="1"/>
  <c r="BI28"/>
  <c r="F36" s="1"/>
  <c r="F23" i="9" s="1"/>
  <c r="BH28" i="8"/>
  <c r="P36"/>
  <c r="P23" i="9" s="1"/>
  <c r="R35" i="8"/>
  <c r="M35"/>
  <c r="M22" i="9" s="1"/>
  <c r="N35" i="8"/>
  <c r="N22" i="9" s="1"/>
  <c r="G35" i="8"/>
  <c r="E36"/>
  <c r="E23" i="9" s="1"/>
  <c r="D23"/>
  <c r="K35" i="8"/>
  <c r="Q22" i="9"/>
  <c r="I36" i="8"/>
  <c r="L36"/>
  <c r="L23" i="9" s="1"/>
  <c r="H23"/>
  <c r="D20"/>
  <c r="O21"/>
  <c r="O34" i="8"/>
  <c r="V34" s="1"/>
  <c r="V21" i="9" s="1"/>
  <c r="X21" s="1"/>
  <c r="G19"/>
  <c r="A33" i="8"/>
  <c r="B33" s="1"/>
  <c r="B19" i="9"/>
  <c r="F22"/>
  <c r="G22" s="1"/>
  <c r="I22"/>
  <c r="K22" s="1"/>
  <c r="P34" i="8"/>
  <c r="G32"/>
  <c r="O32" s="1"/>
  <c r="V32" s="1"/>
  <c r="V19" i="9" s="1"/>
  <c r="X19" s="1"/>
  <c r="Y19" s="1"/>
  <c r="X30" i="8"/>
  <c r="V17" i="9"/>
  <c r="X17" s="1"/>
  <c r="Y17" s="1"/>
  <c r="Z17" s="1"/>
  <c r="P33" i="8"/>
  <c r="P20" i="9" s="1"/>
  <c r="R20" s="1"/>
  <c r="M32" i="8"/>
  <c r="M19" i="9" s="1"/>
  <c r="N32" i="8"/>
  <c r="N19" i="9" s="1"/>
  <c r="R32" i="8"/>
  <c r="L33"/>
  <c r="L20" i="9" s="1"/>
  <c r="F33" i="8"/>
  <c r="F20" i="9" s="1"/>
  <c r="E33" i="8"/>
  <c r="E20" i="9" s="1"/>
  <c r="V31" i="8"/>
  <c r="V18" i="9" s="1"/>
  <c r="X18" s="1"/>
  <c r="Y18" s="1"/>
  <c r="Y29" i="8"/>
  <c r="Y30" l="1"/>
  <c r="Z30" s="1"/>
  <c r="Z18" i="9"/>
  <c r="BG30" i="8"/>
  <c r="BH29"/>
  <c r="E37" s="1"/>
  <c r="E24" i="9" s="1"/>
  <c r="BI29" i="8"/>
  <c r="F37" s="1"/>
  <c r="F24" i="9" s="1"/>
  <c r="BJ30" i="8"/>
  <c r="Q37"/>
  <c r="BL29"/>
  <c r="BK29"/>
  <c r="I37" s="1"/>
  <c r="O35"/>
  <c r="V35" s="1"/>
  <c r="X35" s="1"/>
  <c r="Y35" s="1"/>
  <c r="Z35" s="1"/>
  <c r="K36"/>
  <c r="G36"/>
  <c r="D24" i="9"/>
  <c r="P37" i="8"/>
  <c r="P24" i="9" s="1"/>
  <c r="G23"/>
  <c r="Q23"/>
  <c r="R36" i="8"/>
  <c r="I23" i="9"/>
  <c r="M36" i="8"/>
  <c r="M23" i="9" s="1"/>
  <c r="H24"/>
  <c r="J37" i="8"/>
  <c r="L37"/>
  <c r="L24" i="9" s="1"/>
  <c r="J23"/>
  <c r="N36" i="8"/>
  <c r="N23" i="9" s="1"/>
  <c r="O22"/>
  <c r="X34" i="8"/>
  <c r="O19" i="9"/>
  <c r="Z19" s="1"/>
  <c r="G20"/>
  <c r="A34" i="8"/>
  <c r="B34" s="1"/>
  <c r="B20" i="9"/>
  <c r="R34" i="8"/>
  <c r="P21" i="9"/>
  <c r="R21" s="1"/>
  <c r="Y21" s="1"/>
  <c r="Z21" s="1"/>
  <c r="X32" i="8"/>
  <c r="Y32" s="1"/>
  <c r="Z32" s="1"/>
  <c r="X31"/>
  <c r="Y31" s="1"/>
  <c r="Z31" s="1"/>
  <c r="N33"/>
  <c r="N20" i="9" s="1"/>
  <c r="R33" i="8"/>
  <c r="M33"/>
  <c r="M20" i="9" s="1"/>
  <c r="G33" i="8"/>
  <c r="O33" s="1"/>
  <c r="V33" s="1"/>
  <c r="V20" i="9" s="1"/>
  <c r="X20" s="1"/>
  <c r="Y20" s="1"/>
  <c r="Z29" i="8"/>
  <c r="BJ31" l="1"/>
  <c r="BL30"/>
  <c r="BK30"/>
  <c r="BG31"/>
  <c r="BI30"/>
  <c r="BH30"/>
  <c r="H38"/>
  <c r="D38"/>
  <c r="F38" s="1"/>
  <c r="O36"/>
  <c r="V36" s="1"/>
  <c r="X36" s="1"/>
  <c r="Y36" s="1"/>
  <c r="Z36" s="1"/>
  <c r="G24" i="9"/>
  <c r="G37" i="8"/>
  <c r="D39"/>
  <c r="K23" i="9"/>
  <c r="O23"/>
  <c r="I24"/>
  <c r="M37" i="8"/>
  <c r="M24" i="9" s="1"/>
  <c r="H25"/>
  <c r="J24"/>
  <c r="N37" i="8"/>
  <c r="N24" i="9" s="1"/>
  <c r="H39" i="8"/>
  <c r="Q24" i="9"/>
  <c r="R24" s="1"/>
  <c r="R37" i="8"/>
  <c r="R23" i="9"/>
  <c r="K37" i="8"/>
  <c r="O20" i="9"/>
  <c r="Z20" s="1"/>
  <c r="Y34" i="8"/>
  <c r="Z34" s="1"/>
  <c r="P22" i="9"/>
  <c r="R22" s="1"/>
  <c r="A35" i="8"/>
  <c r="B35" s="1"/>
  <c r="A36" s="1"/>
  <c r="B21" i="9"/>
  <c r="V22"/>
  <c r="X22" s="1"/>
  <c r="X33" i="8"/>
  <c r="Y33" s="1"/>
  <c r="Z33" s="1"/>
  <c r="J38" l="1"/>
  <c r="I38"/>
  <c r="E38"/>
  <c r="G38" s="1"/>
  <c r="L38"/>
  <c r="L25" i="9" s="1"/>
  <c r="P38" i="8"/>
  <c r="P25" i="9" s="1"/>
  <c r="K38" i="8"/>
  <c r="Q38"/>
  <c r="BG32"/>
  <c r="D40" s="1"/>
  <c r="P39"/>
  <c r="BI31"/>
  <c r="BH31"/>
  <c r="E39" s="1"/>
  <c r="E26" i="9" s="1"/>
  <c r="BJ32" i="8"/>
  <c r="Q39"/>
  <c r="BL31"/>
  <c r="BK31"/>
  <c r="I39" s="1"/>
  <c r="D25" i="9"/>
  <c r="V23"/>
  <c r="X23" s="1"/>
  <c r="Y23" s="1"/>
  <c r="Z23" s="1"/>
  <c r="O24"/>
  <c r="K24"/>
  <c r="E25"/>
  <c r="F25"/>
  <c r="D26"/>
  <c r="F39" i="8"/>
  <c r="F26" i="9" s="1"/>
  <c r="O37" i="8"/>
  <c r="V37" s="1"/>
  <c r="I25" i="9"/>
  <c r="J25"/>
  <c r="N38" i="8"/>
  <c r="H40"/>
  <c r="Q25" i="9"/>
  <c r="R38" i="8"/>
  <c r="H26" i="9"/>
  <c r="L39" i="8"/>
  <c r="L26" i="9" s="1"/>
  <c r="J39" i="8"/>
  <c r="Y22" i="9"/>
  <c r="Z22" s="1"/>
  <c r="B36" i="8"/>
  <c r="B22" i="9"/>
  <c r="O38" i="8" l="1"/>
  <c r="V38" s="1"/>
  <c r="V25" i="9" s="1"/>
  <c r="X25" s="1"/>
  <c r="M38" i="8"/>
  <c r="M25" i="9" s="1"/>
  <c r="BJ33" i="8"/>
  <c r="BL32"/>
  <c r="J40" s="1"/>
  <c r="BK32"/>
  <c r="Q40"/>
  <c r="BG33"/>
  <c r="BI32"/>
  <c r="BH32"/>
  <c r="P40"/>
  <c r="P27" i="9" s="1"/>
  <c r="X38" i="8"/>
  <c r="Y38" s="1"/>
  <c r="Z38" s="1"/>
  <c r="G26" i="9"/>
  <c r="P26"/>
  <c r="G25"/>
  <c r="G39" i="8"/>
  <c r="D27" i="9"/>
  <c r="F40" i="8"/>
  <c r="E40"/>
  <c r="E27" i="9" s="1"/>
  <c r="D41" i="8"/>
  <c r="Q26" i="9"/>
  <c r="R39" i="8"/>
  <c r="H41"/>
  <c r="J26" i="9"/>
  <c r="N39" i="8"/>
  <c r="N26" i="9" s="1"/>
  <c r="K25"/>
  <c r="X37" i="8"/>
  <c r="Y37" s="1"/>
  <c r="Z37" s="1"/>
  <c r="V24" i="9"/>
  <c r="X24" s="1"/>
  <c r="Y24" s="1"/>
  <c r="Z24" s="1"/>
  <c r="M39" i="8"/>
  <c r="M26" i="9" s="1"/>
  <c r="I26"/>
  <c r="N25"/>
  <c r="K39" i="8"/>
  <c r="R25" i="9"/>
  <c r="H27"/>
  <c r="I40" i="8"/>
  <c r="L40"/>
  <c r="A37"/>
  <c r="B37" s="1"/>
  <c r="B23" i="9"/>
  <c r="BG34" i="8" l="1"/>
  <c r="BH33"/>
  <c r="E41" s="1"/>
  <c r="BI33"/>
  <c r="F41" s="1"/>
  <c r="F28" i="9" s="1"/>
  <c r="BJ34" i="8"/>
  <c r="Q41"/>
  <c r="BL33"/>
  <c r="BK33"/>
  <c r="I41" s="1"/>
  <c r="R26" i="9"/>
  <c r="G40" i="8"/>
  <c r="D28" i="9"/>
  <c r="P41" i="8"/>
  <c r="P28" i="9" s="1"/>
  <c r="F27"/>
  <c r="G27" s="1"/>
  <c r="K26"/>
  <c r="D42" i="8"/>
  <c r="O25" i="9"/>
  <c r="I27"/>
  <c r="M40" i="8"/>
  <c r="M27" i="9" s="1"/>
  <c r="O39" i="8"/>
  <c r="K40"/>
  <c r="O26" i="9"/>
  <c r="L41" i="8"/>
  <c r="L28" i="9" s="1"/>
  <c r="H28"/>
  <c r="J41" i="8"/>
  <c r="J27" i="9"/>
  <c r="N40" i="8"/>
  <c r="Q27" i="9"/>
  <c r="R40" i="8"/>
  <c r="L27" i="9"/>
  <c r="Y25"/>
  <c r="H42" i="8"/>
  <c r="A38"/>
  <c r="B38" s="1"/>
  <c r="B24" i="9"/>
  <c r="Z25" l="1"/>
  <c r="BJ35" i="8"/>
  <c r="H43" s="1"/>
  <c r="BL34"/>
  <c r="BK34"/>
  <c r="I42" s="1"/>
  <c r="Q42"/>
  <c r="BG35"/>
  <c r="BI34"/>
  <c r="F42" s="1"/>
  <c r="P42"/>
  <c r="BH34"/>
  <c r="E42" s="1"/>
  <c r="E29" i="9" s="1"/>
  <c r="O40" i="8"/>
  <c r="V40" s="1"/>
  <c r="V27" i="9" s="1"/>
  <c r="X27" s="1"/>
  <c r="G41" i="8"/>
  <c r="D43"/>
  <c r="D29" i="9"/>
  <c r="E28"/>
  <c r="J28"/>
  <c r="N41" i="8"/>
  <c r="N28" i="9" s="1"/>
  <c r="Q28"/>
  <c r="R28" s="1"/>
  <c r="R41" i="8"/>
  <c r="N27" i="9"/>
  <c r="I28"/>
  <c r="M41" i="8"/>
  <c r="V39"/>
  <c r="K41"/>
  <c r="H29" i="9"/>
  <c r="L42" i="8"/>
  <c r="L29" i="9" s="1"/>
  <c r="J42" i="8"/>
  <c r="R27" i="9"/>
  <c r="K27"/>
  <c r="A39" i="8"/>
  <c r="B39" s="1"/>
  <c r="B25" i="9"/>
  <c r="BG36" i="8" l="1"/>
  <c r="P43"/>
  <c r="P30" i="9" s="1"/>
  <c r="BI35" i="8"/>
  <c r="BH35"/>
  <c r="E43" s="1"/>
  <c r="BJ36"/>
  <c r="Q43"/>
  <c r="BL35"/>
  <c r="BK35"/>
  <c r="I43" s="1"/>
  <c r="X40"/>
  <c r="Y40" s="1"/>
  <c r="Z40" s="1"/>
  <c r="K28" i="9"/>
  <c r="G42" i="8"/>
  <c r="F29" i="9"/>
  <c r="G29" s="1"/>
  <c r="G28"/>
  <c r="D44" i="8"/>
  <c r="P29" i="9"/>
  <c r="D30"/>
  <c r="F43" i="8"/>
  <c r="F30" i="9" s="1"/>
  <c r="K42" i="8"/>
  <c r="Y27" i="9"/>
  <c r="H30"/>
  <c r="J43" i="8"/>
  <c r="L43"/>
  <c r="M42"/>
  <c r="M29" i="9" s="1"/>
  <c r="I29"/>
  <c r="J29"/>
  <c r="N42" i="8"/>
  <c r="O41"/>
  <c r="M28" i="9"/>
  <c r="Q29"/>
  <c r="R42" i="8"/>
  <c r="V26" i="9"/>
  <c r="X26" s="1"/>
  <c r="Y26" s="1"/>
  <c r="Z26" s="1"/>
  <c r="X39" i="8"/>
  <c r="H44"/>
  <c r="O27" i="9"/>
  <c r="A40" i="8"/>
  <c r="B40" s="1"/>
  <c r="B26" i="9"/>
  <c r="BJ37" i="8" l="1"/>
  <c r="BL36"/>
  <c r="BK36"/>
  <c r="Q44"/>
  <c r="BG37"/>
  <c r="BI36"/>
  <c r="BH36"/>
  <c r="P44"/>
  <c r="G43"/>
  <c r="O42"/>
  <c r="V42" s="1"/>
  <c r="V29" i="9" s="1"/>
  <c r="X29" s="1"/>
  <c r="D31"/>
  <c r="F44" i="8"/>
  <c r="F31" i="9" s="1"/>
  <c r="E44" i="8"/>
  <c r="E31" i="9" s="1"/>
  <c r="E30"/>
  <c r="D45" i="8"/>
  <c r="D32" i="9" s="1"/>
  <c r="K43" i="8"/>
  <c r="Z27" i="9"/>
  <c r="K29"/>
  <c r="H31"/>
  <c r="L44" i="8"/>
  <c r="L31" i="9" s="1"/>
  <c r="I44" i="8"/>
  <c r="J44"/>
  <c r="R29" i="9"/>
  <c r="V41" i="8"/>
  <c r="J30" i="9"/>
  <c r="N43" i="8"/>
  <c r="N30" i="9" s="1"/>
  <c r="H45" i="8"/>
  <c r="H32" i="9" s="1"/>
  <c r="O28"/>
  <c r="L30"/>
  <c r="Y39" i="8"/>
  <c r="N29" i="9"/>
  <c r="R43" i="8"/>
  <c r="Q30" i="9"/>
  <c r="R30" s="1"/>
  <c r="I30"/>
  <c r="M43" i="8"/>
  <c r="A41"/>
  <c r="B41" s="1"/>
  <c r="B27" i="9"/>
  <c r="O43" i="8" l="1"/>
  <c r="V43" s="1"/>
  <c r="X43" s="1"/>
  <c r="Y43" s="1"/>
  <c r="Z43" s="1"/>
  <c r="BG38"/>
  <c r="BH37"/>
  <c r="E45" s="1"/>
  <c r="E32" i="9" s="1"/>
  <c r="BI37" i="8"/>
  <c r="F45" s="1"/>
  <c r="F32" i="9" s="1"/>
  <c r="BJ38" i="8"/>
  <c r="H46" s="1"/>
  <c r="H33" i="9" s="1"/>
  <c r="Q45" i="8"/>
  <c r="Q32" i="9" s="1"/>
  <c r="BL37" i="8"/>
  <c r="BK37"/>
  <c r="I45" s="1"/>
  <c r="I32" i="9" s="1"/>
  <c r="K30"/>
  <c r="Y29"/>
  <c r="X42" i="8"/>
  <c r="Y42" s="1"/>
  <c r="Z42" s="1"/>
  <c r="G30" i="9"/>
  <c r="K44" i="8"/>
  <c r="G44"/>
  <c r="P45"/>
  <c r="P32" i="9" s="1"/>
  <c r="G31"/>
  <c r="P31"/>
  <c r="X41" i="8"/>
  <c r="V28" i="9"/>
  <c r="Q31"/>
  <c r="R44" i="8"/>
  <c r="O29" i="9"/>
  <c r="V30"/>
  <c r="X30" s="1"/>
  <c r="Y30" s="1"/>
  <c r="L45" i="8"/>
  <c r="L32" i="9" s="1"/>
  <c r="J45" i="8"/>
  <c r="J32" i="9" s="1"/>
  <c r="Z39" i="8"/>
  <c r="I31" i="9"/>
  <c r="M44" i="8"/>
  <c r="M31" i="9" s="1"/>
  <c r="M30"/>
  <c r="J31"/>
  <c r="N44" i="8"/>
  <c r="A42"/>
  <c r="B42" s="1"/>
  <c r="B28" i="9"/>
  <c r="K32" l="1"/>
  <c r="R32"/>
  <c r="G32"/>
  <c r="BJ39" i="8"/>
  <c r="BL38"/>
  <c r="BK38"/>
  <c r="BG39"/>
  <c r="BI38"/>
  <c r="BH38"/>
  <c r="D46"/>
  <c r="R31" i="9"/>
  <c r="O44" i="8"/>
  <c r="V44" s="1"/>
  <c r="Z29" i="9"/>
  <c r="H47" i="8"/>
  <c r="H34" i="9" s="1"/>
  <c r="J46" i="8"/>
  <c r="J33" i="9" s="1"/>
  <c r="I46" i="8"/>
  <c r="I33" i="9" s="1"/>
  <c r="K33" s="1"/>
  <c r="Q46" i="8"/>
  <c r="Q33" i="9" s="1"/>
  <c r="K31"/>
  <c r="K45" i="8"/>
  <c r="G45"/>
  <c r="N31" i="9"/>
  <c r="O31" s="1"/>
  <c r="R45" i="8"/>
  <c r="O30" i="9"/>
  <c r="Z30" s="1"/>
  <c r="M45" i="8"/>
  <c r="M32" i="9" s="1"/>
  <c r="Y41" i="8"/>
  <c r="N45"/>
  <c r="N32" i="9" s="1"/>
  <c r="X28"/>
  <c r="A43" i="8"/>
  <c r="B43" s="1"/>
  <c r="B29" i="9"/>
  <c r="O32" l="1"/>
  <c r="L46" i="8"/>
  <c r="L33" i="9" s="1"/>
  <c r="D33"/>
  <c r="F46" i="8"/>
  <c r="F33" i="9" s="1"/>
  <c r="E46" i="8"/>
  <c r="P46"/>
  <c r="P33" i="9" s="1"/>
  <c r="BG40" i="8"/>
  <c r="BI39"/>
  <c r="BH39"/>
  <c r="D47"/>
  <c r="D34" i="9" s="1"/>
  <c r="BJ40" i="8"/>
  <c r="Q47"/>
  <c r="Q34" i="9" s="1"/>
  <c r="BL39" i="8"/>
  <c r="BK39"/>
  <c r="L47"/>
  <c r="L34" i="9" s="1"/>
  <c r="N46" i="8"/>
  <c r="N33" i="9" s="1"/>
  <c r="H48" i="8"/>
  <c r="H35" i="9" s="1"/>
  <c r="K46" i="8"/>
  <c r="J47"/>
  <c r="J34" i="9" s="1"/>
  <c r="I47" i="8"/>
  <c r="I34" i="9" s="1"/>
  <c r="O45" i="8"/>
  <c r="Z41"/>
  <c r="V31" i="9"/>
  <c r="X44" i="8"/>
  <c r="Y28" i="9"/>
  <c r="A44" i="8"/>
  <c r="B44" s="1"/>
  <c r="B30" i="9"/>
  <c r="R46" i="8" l="1"/>
  <c r="R33" i="9"/>
  <c r="G46" i="8"/>
  <c r="O46" s="1"/>
  <c r="V46" s="1"/>
  <c r="E33" i="9"/>
  <c r="K34"/>
  <c r="M46" i="8"/>
  <c r="M33" i="9" s="1"/>
  <c r="BJ41" i="8"/>
  <c r="BL40"/>
  <c r="J48" s="1"/>
  <c r="J35" i="9" s="1"/>
  <c r="BK40" i="8"/>
  <c r="I48" s="1"/>
  <c r="I35" i="9" s="1"/>
  <c r="Q48" i="8"/>
  <c r="Q35" i="9" s="1"/>
  <c r="P47" i="8"/>
  <c r="E47"/>
  <c r="E34" i="9" s="1"/>
  <c r="F47" i="8"/>
  <c r="BG41"/>
  <c r="BI40"/>
  <c r="BH40"/>
  <c r="D48"/>
  <c r="K47"/>
  <c r="V45"/>
  <c r="V32" i="9" s="1"/>
  <c r="X32" s="1"/>
  <c r="Y32" s="1"/>
  <c r="Z32" s="1"/>
  <c r="Z28"/>
  <c r="X31"/>
  <c r="Y44" i="8"/>
  <c r="A45"/>
  <c r="B45" s="1"/>
  <c r="B32" i="9" s="1"/>
  <c r="B31"/>
  <c r="N47" i="8" l="1"/>
  <c r="N34" i="9" s="1"/>
  <c r="F34"/>
  <c r="L48" i="8"/>
  <c r="L35" i="9" s="1"/>
  <c r="D35"/>
  <c r="R47" i="8"/>
  <c r="P34" i="9"/>
  <c r="G34"/>
  <c r="X46" i="8"/>
  <c r="Y46" s="1"/>
  <c r="Z46" s="1"/>
  <c r="V33" i="9"/>
  <c r="X33" s="1"/>
  <c r="Y33" s="1"/>
  <c r="K35"/>
  <c r="O33"/>
  <c r="G33"/>
  <c r="G47" i="8"/>
  <c r="BJ42"/>
  <c r="BL41"/>
  <c r="BK41"/>
  <c r="H49"/>
  <c r="H36" i="9" s="1"/>
  <c r="E48" i="8"/>
  <c r="E35" i="9" s="1"/>
  <c r="G35" s="1"/>
  <c r="P48" i="8"/>
  <c r="F48"/>
  <c r="F35" i="9" s="1"/>
  <c r="BG42" i="8"/>
  <c r="BH41"/>
  <c r="BI41"/>
  <c r="D49"/>
  <c r="D36" i="9" s="1"/>
  <c r="N48" i="8"/>
  <c r="N35" i="9" s="1"/>
  <c r="M47" i="8"/>
  <c r="M34" i="9" s="1"/>
  <c r="O34" s="1"/>
  <c r="O47" i="8"/>
  <c r="V47" s="1"/>
  <c r="K48"/>
  <c r="A46"/>
  <c r="B46" s="1"/>
  <c r="X45"/>
  <c r="Y31" i="9"/>
  <c r="Z44" i="8"/>
  <c r="A47" l="1"/>
  <c r="B47" s="1"/>
  <c r="B33" i="9"/>
  <c r="R48" i="8"/>
  <c r="P35" i="9"/>
  <c r="R35" s="1"/>
  <c r="R34"/>
  <c r="Z33"/>
  <c r="X47" i="8"/>
  <c r="Y47" s="1"/>
  <c r="Z47" s="1"/>
  <c r="V34" i="9"/>
  <c r="X34" s="1"/>
  <c r="Y34" s="1"/>
  <c r="Z34" s="1"/>
  <c r="BG43" i="8"/>
  <c r="BI42"/>
  <c r="BH42"/>
  <c r="D50"/>
  <c r="D37" i="9" s="1"/>
  <c r="BJ43" i="8"/>
  <c r="BL42"/>
  <c r="BK42"/>
  <c r="H50"/>
  <c r="H37" i="9" s="1"/>
  <c r="L49" i="8"/>
  <c r="L36" i="9" s="1"/>
  <c r="F49" i="8"/>
  <c r="F36" i="9" s="1"/>
  <c r="E49" i="8"/>
  <c r="E36" i="9" s="1"/>
  <c r="P49" i="8"/>
  <c r="P36" i="9" s="1"/>
  <c r="J49" i="8"/>
  <c r="J36" i="9" s="1"/>
  <c r="I49" i="8"/>
  <c r="I36" i="9" s="1"/>
  <c r="Q49" i="8"/>
  <c r="Q36" i="9" s="1"/>
  <c r="M48" i="8"/>
  <c r="M35" i="9" s="1"/>
  <c r="G48" i="8"/>
  <c r="O48" s="1"/>
  <c r="V48" s="1"/>
  <c r="Y45"/>
  <c r="Z31" i="9"/>
  <c r="R36" l="1"/>
  <c r="A48" i="8"/>
  <c r="B48" s="1"/>
  <c r="B34" i="9"/>
  <c r="G36"/>
  <c r="O35"/>
  <c r="X48" i="8"/>
  <c r="Y48" s="1"/>
  <c r="Z48" s="1"/>
  <c r="V35" i="9"/>
  <c r="K36"/>
  <c r="M49" i="8"/>
  <c r="M36" i="9" s="1"/>
  <c r="K49" i="8"/>
  <c r="G49"/>
  <c r="N49"/>
  <c r="N36" i="9" s="1"/>
  <c r="BG44" i="8"/>
  <c r="BI43"/>
  <c r="BH43"/>
  <c r="D51"/>
  <c r="D38" i="9" s="1"/>
  <c r="E50" i="8"/>
  <c r="E37" i="9" s="1"/>
  <c r="G37" s="1"/>
  <c r="F50" i="8"/>
  <c r="F37" i="9" s="1"/>
  <c r="L50" i="8"/>
  <c r="L37" i="9" s="1"/>
  <c r="P50" i="8"/>
  <c r="P37" i="9" s="1"/>
  <c r="I50" i="8"/>
  <c r="Q50"/>
  <c r="Q37" i="9" s="1"/>
  <c r="J50" i="8"/>
  <c r="J37" i="9" s="1"/>
  <c r="BJ44" i="8"/>
  <c r="BL43"/>
  <c r="BK43"/>
  <c r="H51"/>
  <c r="H38" i="9" s="1"/>
  <c r="G50" i="8"/>
  <c r="R49"/>
  <c r="Z45"/>
  <c r="R37" i="9" l="1"/>
  <c r="O49" i="8"/>
  <c r="V49" s="1"/>
  <c r="V36" i="9" s="1"/>
  <c r="X36" s="1"/>
  <c r="Y36" s="1"/>
  <c r="Z36" s="1"/>
  <c r="O36"/>
  <c r="A49" i="8"/>
  <c r="B49" s="1"/>
  <c r="B35" i="9"/>
  <c r="X35"/>
  <c r="K50" i="8"/>
  <c r="O50" s="1"/>
  <c r="V50" s="1"/>
  <c r="I37" i="9"/>
  <c r="X49" i="8"/>
  <c r="M50"/>
  <c r="M37" i="9" s="1"/>
  <c r="O37" s="1"/>
  <c r="N50" i="8"/>
  <c r="N37" i="9" s="1"/>
  <c r="Y49" i="8"/>
  <c r="Z49" s="1"/>
  <c r="J51"/>
  <c r="J38" i="9" s="1"/>
  <c r="Q51" i="8"/>
  <c r="Q38" i="9" s="1"/>
  <c r="I51" i="8"/>
  <c r="BJ45"/>
  <c r="H53" s="1"/>
  <c r="H40" i="9" s="1"/>
  <c r="BL44" i="8"/>
  <c r="BK44"/>
  <c r="H52"/>
  <c r="H39" i="9" s="1"/>
  <c r="E51" i="8"/>
  <c r="E38" i="9" s="1"/>
  <c r="F51" i="8"/>
  <c r="F38" i="9" s="1"/>
  <c r="P51" i="8"/>
  <c r="L51"/>
  <c r="L38" i="9" s="1"/>
  <c r="BG45" i="8"/>
  <c r="D53" s="1"/>
  <c r="D40" i="9" s="1"/>
  <c r="BI44" i="8"/>
  <c r="BH44"/>
  <c r="D52"/>
  <c r="D39" i="9" s="1"/>
  <c r="R50" i="8"/>
  <c r="G38" i="9" l="1"/>
  <c r="A50" i="8"/>
  <c r="B50" s="1"/>
  <c r="B36" i="9"/>
  <c r="R51" i="8"/>
  <c r="P38" i="9"/>
  <c r="R38" s="1"/>
  <c r="L53" i="8"/>
  <c r="L40" i="9" s="1"/>
  <c r="K51" i="8"/>
  <c r="I38" i="9"/>
  <c r="K38" s="1"/>
  <c r="X50" i="8"/>
  <c r="Y50" s="1"/>
  <c r="Z50" s="1"/>
  <c r="V37" i="9"/>
  <c r="K37"/>
  <c r="Y35"/>
  <c r="N51" i="8"/>
  <c r="N38" i="9" s="1"/>
  <c r="I52" i="8"/>
  <c r="J52"/>
  <c r="J39" i="9" s="1"/>
  <c r="Q52" i="8"/>
  <c r="Q39" i="9" s="1"/>
  <c r="BJ46" i="8"/>
  <c r="H54" s="1"/>
  <c r="H41" i="9" s="1"/>
  <c r="Q53" i="8"/>
  <c r="Q40" i="9" s="1"/>
  <c r="BL45" i="8"/>
  <c r="J53" s="1"/>
  <c r="J40" i="9" s="1"/>
  <c r="BK45" i="8"/>
  <c r="I53" s="1"/>
  <c r="I40" i="9" s="1"/>
  <c r="K40" s="1"/>
  <c r="L52" i="8"/>
  <c r="L39" i="9" s="1"/>
  <c r="E52" i="8"/>
  <c r="F52"/>
  <c r="P52"/>
  <c r="BG46"/>
  <c r="D54" s="1"/>
  <c r="D41" i="9" s="1"/>
  <c r="BH45" i="8"/>
  <c r="E53" s="1"/>
  <c r="P53"/>
  <c r="BI45"/>
  <c r="F53" s="1"/>
  <c r="M51"/>
  <c r="M38" i="9" s="1"/>
  <c r="G51" i="8"/>
  <c r="K53"/>
  <c r="R53" l="1"/>
  <c r="P40" i="9"/>
  <c r="R40" s="1"/>
  <c r="N52" i="8"/>
  <c r="N39" i="9" s="1"/>
  <c r="F39"/>
  <c r="N53" i="8"/>
  <c r="N40" i="9" s="1"/>
  <c r="F40"/>
  <c r="R52" i="8"/>
  <c r="P39" i="9"/>
  <c r="R39" s="1"/>
  <c r="A51" i="8"/>
  <c r="B51" s="1"/>
  <c r="B37" i="9"/>
  <c r="O38"/>
  <c r="Z35"/>
  <c r="G53" i="8"/>
  <c r="E40" i="9"/>
  <c r="G40" s="1"/>
  <c r="M52" i="8"/>
  <c r="M39" i="9" s="1"/>
  <c r="E39"/>
  <c r="G39" s="1"/>
  <c r="K52" i="8"/>
  <c r="I39" i="9"/>
  <c r="X37"/>
  <c r="O51" i="8"/>
  <c r="V51" s="1"/>
  <c r="L54"/>
  <c r="L41" i="9" s="1"/>
  <c r="M53" i="8"/>
  <c r="M40" i="9" s="1"/>
  <c r="O40" s="1"/>
  <c r="G52" i="8"/>
  <c r="O52" s="1"/>
  <c r="V52" s="1"/>
  <c r="BG47"/>
  <c r="D55" s="1"/>
  <c r="BI46"/>
  <c r="F54" s="1"/>
  <c r="F41" i="9" s="1"/>
  <c r="P54" i="8"/>
  <c r="BH46"/>
  <c r="E54" s="1"/>
  <c r="E41" i="9" s="1"/>
  <c r="G41" s="1"/>
  <c r="BJ47" i="8"/>
  <c r="H55" s="1"/>
  <c r="BL46"/>
  <c r="J54" s="1"/>
  <c r="J41" i="9" s="1"/>
  <c r="BK46" i="8"/>
  <c r="I54" s="1"/>
  <c r="I41" i="9" s="1"/>
  <c r="K41" s="1"/>
  <c r="Q54" i="8"/>
  <c r="Q41" i="9" s="1"/>
  <c r="O53" i="8"/>
  <c r="V53" s="1"/>
  <c r="O39" i="9" l="1"/>
  <c r="D42"/>
  <c r="D43" s="1"/>
  <c r="D56" i="8"/>
  <c r="A52"/>
  <c r="B52" s="1"/>
  <c r="B38" i="9"/>
  <c r="H42"/>
  <c r="H56" i="8"/>
  <c r="R54"/>
  <c r="P41" i="9"/>
  <c r="R41" s="1"/>
  <c r="X52" i="8"/>
  <c r="Y52" s="1"/>
  <c r="Z52" s="1"/>
  <c r="V39" i="9"/>
  <c r="X39" s="1"/>
  <c r="Y39" s="1"/>
  <c r="X51" i="8"/>
  <c r="Y51" s="1"/>
  <c r="Z51" s="1"/>
  <c r="V38" i="9"/>
  <c r="K39"/>
  <c r="X53" i="8"/>
  <c r="Y53" s="1"/>
  <c r="Z53" s="1"/>
  <c r="V40" i="9"/>
  <c r="X40" s="1"/>
  <c r="Y40" s="1"/>
  <c r="Z40" s="1"/>
  <c r="Y37"/>
  <c r="Z39"/>
  <c r="N54" i="8"/>
  <c r="N41" i="9" s="1"/>
  <c r="M54" i="8"/>
  <c r="M41" i="9" s="1"/>
  <c r="O41" s="1"/>
  <c r="G54" i="8"/>
  <c r="K54"/>
  <c r="L55"/>
  <c r="P55"/>
  <c r="BI47"/>
  <c r="F55" s="1"/>
  <c r="BH47"/>
  <c r="E55" s="1"/>
  <c r="Q55"/>
  <c r="BL47"/>
  <c r="J55" s="1"/>
  <c r="BK47"/>
  <c r="I55" s="1"/>
  <c r="Q42" i="9" l="1"/>
  <c r="Q56" i="8"/>
  <c r="L42" i="9"/>
  <c r="L56" i="8"/>
  <c r="R55"/>
  <c r="R56" s="1"/>
  <c r="P42" i="9"/>
  <c r="P43" s="1"/>
  <c r="P56" i="8"/>
  <c r="H43" i="9"/>
  <c r="F42"/>
  <c r="F43" s="1"/>
  <c r="F56" i="8"/>
  <c r="J42" i="9"/>
  <c r="J43" s="1"/>
  <c r="J56" i="8"/>
  <c r="A53"/>
  <c r="B53" s="1"/>
  <c r="B39" i="9"/>
  <c r="I42"/>
  <c r="I43" s="1"/>
  <c r="I56" i="8"/>
  <c r="E42" i="9"/>
  <c r="E56" i="8"/>
  <c r="Z37" i="9"/>
  <c r="X38"/>
  <c r="N55" i="8"/>
  <c r="M55"/>
  <c r="G55"/>
  <c r="K55"/>
  <c r="K56" s="1"/>
  <c r="E61" s="1"/>
  <c r="O54"/>
  <c r="V54" s="1"/>
  <c r="N42" i="9" l="1"/>
  <c r="N43" s="1"/>
  <c r="N56" i="8"/>
  <c r="K42" i="9"/>
  <c r="K43" s="1"/>
  <c r="E48" s="1"/>
  <c r="R42"/>
  <c r="R43" s="1"/>
  <c r="Q43"/>
  <c r="A54" i="8"/>
  <c r="B54" s="1"/>
  <c r="B40" i="9"/>
  <c r="L43"/>
  <c r="X54" i="8"/>
  <c r="Y54" s="1"/>
  <c r="Z54" s="1"/>
  <c r="V41" i="9"/>
  <c r="M42"/>
  <c r="M43" s="1"/>
  <c r="M56" i="8"/>
  <c r="O55"/>
  <c r="G56"/>
  <c r="C61" s="1"/>
  <c r="Y38" i="9"/>
  <c r="G42"/>
  <c r="G43" s="1"/>
  <c r="C48" s="1"/>
  <c r="E43"/>
  <c r="O42" l="1"/>
  <c r="O43" s="1"/>
  <c r="G48" s="1"/>
  <c r="A55" i="8"/>
  <c r="B55" s="1"/>
  <c r="B42" i="9" s="1"/>
  <c r="B41"/>
  <c r="V55" i="8"/>
  <c r="O56"/>
  <c r="G61" s="1"/>
  <c r="X41" i="9"/>
  <c r="Z38"/>
  <c r="X55" i="8" l="1"/>
  <c r="V42" i="9"/>
  <c r="V56" i="8"/>
  <c r="Y41" i="9"/>
  <c r="Z41" l="1"/>
  <c r="Y55" i="8"/>
  <c r="X56"/>
  <c r="X42" i="9"/>
  <c r="V43"/>
  <c r="Y42" l="1"/>
  <c r="X43"/>
  <c r="Z55" i="8"/>
  <c r="Z56" s="1"/>
  <c r="Y56"/>
  <c r="I61" s="1"/>
  <c r="Z42" i="9" l="1"/>
  <c r="Z43" s="1"/>
  <c r="K48" s="1"/>
  <c r="Y43"/>
  <c r="I48" s="1"/>
  <c r="K61" i="8"/>
  <c r="M58"/>
</calcChain>
</file>

<file path=xl/sharedStrings.xml><?xml version="1.0" encoding="utf-8"?>
<sst xmlns="http://schemas.openxmlformats.org/spreadsheetml/2006/main" count="398" uniqueCount="230">
  <si>
    <t xml:space="preserve">कार्मिक का नाम :- </t>
  </si>
  <si>
    <t>कार्मिक की प्रथम नियुक्ति तिथि :-</t>
  </si>
  <si>
    <t xml:space="preserve">कार्मिक की प्रथम ए.सी.पी. तिथि :- </t>
  </si>
  <si>
    <t xml:space="preserve">कार्मिक की द्वितीय ए.सी.पी. तिथि :- </t>
  </si>
  <si>
    <t xml:space="preserve">कार्मिक की तृतीय ए.सी.पी. तिथि :- </t>
  </si>
  <si>
    <t xml:space="preserve">प्रमोशन के बाद पद  :- </t>
  </si>
  <si>
    <t xml:space="preserve">प्रमोशन के बाद पद लेवल :- </t>
  </si>
  <si>
    <t xml:space="preserve">पद लेवल :- </t>
  </si>
  <si>
    <t xml:space="preserve">कार्मिक विवरण </t>
  </si>
  <si>
    <t>कार्मिक का वर्तमान पद : -</t>
  </si>
  <si>
    <t xml:space="preserve">प्रथम नियुक्ति पद :- </t>
  </si>
  <si>
    <t xml:space="preserve">प्रथम ए.सी.पी. के समय पद :- </t>
  </si>
  <si>
    <t xml:space="preserve">द्वितीय ए.सी.पी. के समय पद :- </t>
  </si>
  <si>
    <t xml:space="preserve">तृतीय ए.सी.पी. के समय पद :- </t>
  </si>
  <si>
    <t>ACP</t>
  </si>
  <si>
    <t>MACP</t>
  </si>
  <si>
    <t xml:space="preserve">YES </t>
  </si>
  <si>
    <t xml:space="preserve">आपका प्रमोशन हुआ है , तो हाँ / ना सलेक्ट करें :- </t>
  </si>
  <si>
    <t>DD</t>
  </si>
  <si>
    <t>MM</t>
  </si>
  <si>
    <t>YYYY</t>
  </si>
  <si>
    <t>NO</t>
  </si>
  <si>
    <t>ý</t>
  </si>
  <si>
    <t>HEERALAL JAT</t>
  </si>
  <si>
    <t>Sr. Teacher</t>
  </si>
  <si>
    <t>Teacher</t>
  </si>
  <si>
    <t xml:space="preserve">नेक्स्ट प्रमोशन के बाद पद  :- </t>
  </si>
  <si>
    <r>
      <t xml:space="preserve">क्या कार्मिक </t>
    </r>
    <r>
      <rPr>
        <b/>
        <sz val="13"/>
        <color rgb="FFFF0000"/>
        <rFont val="Calibri"/>
        <family val="2"/>
        <scheme val="minor"/>
      </rPr>
      <t>01-04-2023</t>
    </r>
    <r>
      <rPr>
        <b/>
        <sz val="11"/>
        <color theme="1"/>
        <rFont val="Calibri"/>
        <family val="2"/>
        <scheme val="minor"/>
      </rPr>
      <t xml:space="preserve"> को राजकीय सेवा में था , YES/NO सलेक्ट करें :- </t>
    </r>
  </si>
  <si>
    <t>tr</t>
  </si>
  <si>
    <t>Cell No.</t>
  </si>
  <si>
    <t>Pay Metrix of State Government Servents wef 01-10-2017</t>
  </si>
  <si>
    <t>Existing Pay Band</t>
  </si>
  <si>
    <t>Existing Grade Pay</t>
  </si>
  <si>
    <t>Existing Grade Pay No.</t>
  </si>
  <si>
    <t>9A</t>
  </si>
  <si>
    <t>9B</t>
  </si>
  <si>
    <t>10B</t>
  </si>
  <si>
    <t>23A</t>
  </si>
  <si>
    <t>Level</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</si>
  <si>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</si>
  <si>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</si>
  <si>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</si>
  <si>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</si>
  <si>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</si>
  <si>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</si>
  <si>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</si>
  <si>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</si>
  <si>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</si>
  <si>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</si>
  <si>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</si>
  <si>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</si>
  <si>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</si>
  <si>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</si>
  <si>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</si>
  <si>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</si>
  <si>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</si>
  <si>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</si>
  <si>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</si>
  <si>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</si>
  <si>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</si>
  <si>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</si>
  <si>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</si>
  <si>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</si>
  <si>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PB-1 (5200-20200)</t>
  </si>
  <si>
    <t>PB-2 (9300-34800)</t>
  </si>
  <si>
    <t>PB-3 (15600-39100)</t>
  </si>
  <si>
    <t>PB-4 (37400-67000)</t>
  </si>
  <si>
    <t>Pay Metrix Chart</t>
  </si>
  <si>
    <t xml:space="preserve">कार्यालय का नाम (हिन्दी में)  :-  </t>
  </si>
  <si>
    <t xml:space="preserve">कार्यालय का नाम (अंग्रेजी में)  :-  </t>
  </si>
  <si>
    <t>महात्मा गाँधी राजकीय विद्यालय (अंग्रेजी माध्यम) बर, (ब्यावर)</t>
  </si>
  <si>
    <t>Mahatma Gandhi Government School (English Medium) Bar, (Beawar)</t>
  </si>
  <si>
    <t>एमएसीपी/एसीपी की स्वीकृति के पूर्व का वेतन :-</t>
  </si>
  <si>
    <t>एमएसीपी/एसीपी स्वीकृत होने के बाद वेतन :-</t>
  </si>
  <si>
    <t>कार्मिक डाटा एन्ट्री</t>
  </si>
  <si>
    <t xml:space="preserve">कार्यालय आदेश </t>
  </si>
  <si>
    <t xml:space="preserve">के आदेश क्रमांक - </t>
  </si>
  <si>
    <t>दिनांक  -</t>
  </si>
  <si>
    <t xml:space="preserve">क्र. स. </t>
  </si>
  <si>
    <t xml:space="preserve">नाम कार्मिक </t>
  </si>
  <si>
    <t>पद</t>
  </si>
  <si>
    <t xml:space="preserve">प्रथम नियुक्ति तिथि </t>
  </si>
  <si>
    <t xml:space="preserve">एमएसीपी स्वीकृत होने से पूर्व का वेतन </t>
  </si>
  <si>
    <t xml:space="preserve">बेसिक पे </t>
  </si>
  <si>
    <t xml:space="preserve">राजस्थान सरकार वित्त विभाग के नोटिफिकेशन संख्या एफ 15(1) एफडी / रूल्स / 2014 पीटी. दिनांक 06.10.2023 के द्वारा राजस्थान सिविल सेवा (पुनरीक्षित वेतनमान) नियम 2017 के </t>
  </si>
  <si>
    <t>नियम 14 के द्वारा तथा श्रीमान जिला शिक्षा अधिकारी,</t>
  </si>
  <si>
    <t>9/18/27</t>
  </si>
  <si>
    <t>करके इनका वेतन निम्नानुसार निर्धारित कर भुगतान आहरण करने की स्वीकृति प्रदान की जाती है I</t>
  </si>
  <si>
    <t>पे लेवल</t>
  </si>
  <si>
    <t xml:space="preserve">आगामी वेतन वृद्धि दिनांक </t>
  </si>
  <si>
    <t xml:space="preserve">आगामी वेतन वृद्धि के बाद वेतन  </t>
  </si>
  <si>
    <t>के अनुसार निम्नांकित कार्मिक/कार्मिकों के</t>
  </si>
  <si>
    <t xml:space="preserve">नोट :- </t>
  </si>
  <si>
    <t>दिनांक 01-04-2023 से एमएसीपी का नकद लाभ देय होगा तथा जिन कार्मिकों के 01-04-2023 के बाद एमएसीपी स्वीकृत हुई है , उनके स्वीकृत दिनांक से आर्थिक लाभ देय होगा I</t>
  </si>
  <si>
    <t>प्रधानाचार्य</t>
  </si>
  <si>
    <t>क्रमांक :</t>
  </si>
  <si>
    <t>प्रतिलिपि : सूचनार्थ एवं आवश्यक कार्यवाही हेतु -</t>
  </si>
  <si>
    <t xml:space="preserve">लेखा शाखा/ बिल शाखा/आदेश पत्रावली। </t>
  </si>
  <si>
    <t>दिनांक :-</t>
  </si>
  <si>
    <t xml:space="preserve">श्रीमान उपकोषाधिकारी, उपकोष </t>
  </si>
  <si>
    <t>निजी पत्रावली कार्मिक श्री / श्रीमती / कु. :-</t>
  </si>
  <si>
    <t>कार्मिक श्री / श्रीमती / कुमारी : -</t>
  </si>
  <si>
    <t>FORM OF OPTION FOR MACP ( MACP 2023 See Rules 14(6))</t>
  </si>
  <si>
    <t>W.e.f. 1.4.2023.</t>
  </si>
  <si>
    <t>Name :</t>
  </si>
  <si>
    <t>Designation :</t>
  </si>
  <si>
    <t>“UNDERTAKING”</t>
  </si>
  <si>
    <t>I hereby undertakes that in the event of my pay having been fixed in a manner contrary to the</t>
  </si>
  <si>
    <t>Received the above declaration</t>
  </si>
  <si>
    <t>(Head of the Office)</t>
  </si>
  <si>
    <t>I ,</t>
  </si>
  <si>
    <t>hereby elect the scheme of Medified Assured</t>
  </si>
  <si>
    <t>Career Progression (MACP) as per FD notification No. F.15(1)FD/Rules/2017 Pt. date: 06.10.2023</t>
  </si>
  <si>
    <t>hereby elect to continues Assurd Caree Progression</t>
  </si>
  <si>
    <t>as per FD notification No.15(1)FD/Rules/2017Date 30.12.2017 and 09.12.2017, till the promotion</t>
  </si>
  <si>
    <t xml:space="preserve"> or next financial upgradation.</t>
  </si>
  <si>
    <t>Signature :</t>
  </si>
  <si>
    <t>Office in which employed :</t>
  </si>
  <si>
    <t xml:space="preserve"> by me to the Governmet either by adjustment against future payments dues to me or otherwise.</t>
  </si>
  <si>
    <t>provisions contained in the Rules, as detected subsequently, any excess payment so made shall be  refunded</t>
  </si>
  <si>
    <t>Date/Place :</t>
  </si>
  <si>
    <t>Date :</t>
  </si>
  <si>
    <t>Place Signature :</t>
  </si>
  <si>
    <t>---------------------------------------------------------------------------------------------------------------------------- ------</t>
  </si>
  <si>
    <t>YES</t>
  </si>
  <si>
    <t>-------------------------</t>
  </si>
  <si>
    <t xml:space="preserve">नोट :-  यह पे मेट्रिक्स टेबल आपकी सुविधा के लिए तैयार की गयी है I वैसे तैयार करते समय सावधानी बरती गयी है , फिर भी एफ.डी. (वित्त विभाग) द्वारा जारी पे मेट्रिक्स टेबल से मिलान जरुर कर लेवें I </t>
  </si>
  <si>
    <t>एमएसीपी :-</t>
  </si>
  <si>
    <t>कार्मिक की एमएसीपी/एसीपी स्वीकृति  तिथि :-</t>
  </si>
  <si>
    <t>( यहाँ YES सलेक्ट करने पर एमएसीपी का आप्शन फॉर्म स्वतः फिल हो जायेगा I )</t>
  </si>
  <si>
    <t xml:space="preserve"> एसीपी स्वीकृत की गई थी, उक्त एसीपी को संशोधित कर उसके स्थान पर एमएसीपी  निर्धारित पे लेवल में  01.04.2023 को निम्नांकित कर्मचारियों से प्राप्त विकल्प पत्र के आधार पर निम्न तालिका के </t>
  </si>
  <si>
    <t xml:space="preserve"> वर्ष की निरन्तर सेवा उनके कॉलम के सामने अंकित दिनांक को पूर्ण करने पर इनके एमएसीपी प्रदान किये जाने के फलस्वरुप इनके पूर्व में जो</t>
  </si>
  <si>
    <t>अनुसार पे - मेट्रिक्स के पे लेवल को स्वीकृत करके इनका संशोधित वेतन निम्नानुसार निर्धारित कर भुगतान आहरण करने की स्वीकृति प्रदान की जाती है I</t>
  </si>
  <si>
    <t>स्वीकृत एसीपी/ एमएसीपी
(9/18/27)</t>
  </si>
  <si>
    <t>एसीपी दिनांक</t>
  </si>
  <si>
    <t>कार्मिक के पूर्व में स्वीकृति एसीपी  तिथि :-</t>
  </si>
  <si>
    <r>
      <t xml:space="preserve">क्या कार्मिक </t>
    </r>
    <r>
      <rPr>
        <b/>
        <sz val="12"/>
        <color rgb="FF0000CC"/>
        <rFont val="Calibri"/>
        <family val="2"/>
        <scheme val="minor"/>
      </rPr>
      <t>01-04-2023</t>
    </r>
    <r>
      <rPr>
        <b/>
        <sz val="11"/>
        <color theme="1"/>
        <rFont val="Calibri"/>
        <family val="2"/>
        <scheme val="minor"/>
      </rPr>
      <t xml:space="preserve"> के पूर्व में स्वीकृत एसीपी का एमएसीपी के अंतर्गत लाभ लेना चाहता हैं , YES/NO सलेक्ट करें :- </t>
    </r>
  </si>
  <si>
    <t>एसीपी :-</t>
  </si>
  <si>
    <t>एसीपी के स्थान पर एमएसीपी स्वीकृत होने के बाद वेतन :-</t>
  </si>
  <si>
    <t>उक्त कॉलम की एंट्री एसीपी की जगह एमएसीपी में वेतन रिवाइज्ड करवाना हो 
तो करें I</t>
  </si>
  <si>
    <t>एसीपी की स्वीकृति के समय वेतन :-</t>
  </si>
  <si>
    <r>
      <t xml:space="preserve">    (</t>
    </r>
    <r>
      <rPr>
        <b/>
        <sz val="11"/>
        <color rgb="FFCC00CC"/>
        <rFont val="Calibri"/>
        <family val="2"/>
        <scheme val="minor"/>
      </rPr>
      <t xml:space="preserve">01-04-2023 </t>
    </r>
    <r>
      <rPr>
        <b/>
        <sz val="10"/>
        <color rgb="FFCC00CC"/>
        <rFont val="Calibri"/>
        <family val="2"/>
        <scheme val="minor"/>
      </rPr>
      <t xml:space="preserve">से पूर्व यदि स्वीकृत हो तो)     </t>
    </r>
  </si>
  <si>
    <t>एसीपी के स्थान पर रिवाइज्ड एमएसीपी स्वीकृति तिथि :-</t>
  </si>
  <si>
    <t xml:space="preserve">एमएसीपी (MACP) स्वीकृत दिनांक </t>
  </si>
  <si>
    <t xml:space="preserve">01-04-2023 के  पूर्व स्वीकृत एसीपी (ACP) का विवरण (पूर्व का वेतन) </t>
  </si>
  <si>
    <t xml:space="preserve">एमएसीपी (MACP) स्वीकृत होने पर वेतन निर्धारण </t>
  </si>
  <si>
    <t xml:space="preserve">डीडीओ (कार्यालयाध्यक्ष) का नाम :- </t>
  </si>
  <si>
    <t>डीडीओ का पद : -</t>
  </si>
  <si>
    <t xml:space="preserve">डीडीओ कोड :- </t>
  </si>
  <si>
    <t>USHA PALIYA</t>
  </si>
  <si>
    <t xml:space="preserve"> वर्ष की निरन्तर सेवा उनके कॉलम के सामने अंकित दिनांक को पूर्ण करने पर इनके एमएसीपी के अनुसार पे - मेट्रिक्स की पे लेवल को स्वीकृत </t>
  </si>
  <si>
    <t>TOTAL DEDUCTION</t>
  </si>
  <si>
    <t>NET PAYABLE</t>
  </si>
  <si>
    <t>BASIC</t>
  </si>
  <si>
    <t>DA</t>
  </si>
  <si>
    <t>HRA</t>
  </si>
  <si>
    <t>TOTAL</t>
  </si>
  <si>
    <t>RGHS</t>
  </si>
  <si>
    <t>INCOME TAX</t>
  </si>
  <si>
    <t>Post :-</t>
  </si>
  <si>
    <t>Employee Name :-</t>
  </si>
  <si>
    <t>Posting Place :-</t>
  </si>
  <si>
    <t>to</t>
  </si>
  <si>
    <t>MACP Arrear From</t>
  </si>
  <si>
    <t xml:space="preserve"> Difference Arrear Sheet</t>
  </si>
  <si>
    <t>Sr. No.</t>
  </si>
  <si>
    <t xml:space="preserve">एमएसीपी (MACP) की डीफरेंस एरियर शीट्स तैयार करने के लिए माह सलेक्ट करें </t>
  </si>
  <si>
    <t>जिस माह से एरियर बनाना है, वह माह सलेक्ट करें :-</t>
  </si>
  <si>
    <t>जिस माह तक एरियर बनाना है, वह माह सलेक्ट करें :-</t>
  </si>
  <si>
    <r>
      <t xml:space="preserve">जिस माह से एरियर बनाना है, उस माह की </t>
    </r>
    <r>
      <rPr>
        <b/>
        <sz val="11"/>
        <color rgb="FFC00000"/>
        <rFont val="Calibri"/>
        <family val="2"/>
        <scheme val="minor"/>
      </rPr>
      <t>दिनांक</t>
    </r>
    <r>
      <rPr>
        <b/>
        <sz val="11"/>
        <color rgb="FFFF0000"/>
        <rFont val="Calibri"/>
        <family val="2"/>
        <scheme val="minor"/>
      </rPr>
      <t xml:space="preserve"> लिखें  :-</t>
    </r>
  </si>
  <si>
    <r>
      <t>मकान किराया (</t>
    </r>
    <r>
      <rPr>
        <b/>
        <sz val="14"/>
        <color theme="5" tint="-0.499984740745262"/>
        <rFont val="Calibri"/>
        <family val="2"/>
        <scheme val="minor"/>
      </rPr>
      <t>HRA</t>
    </r>
    <r>
      <rPr>
        <b/>
        <sz val="11"/>
        <color theme="5" tint="-0.499984740745262"/>
        <rFont val="Calibri"/>
        <family val="2"/>
        <scheme val="minor"/>
      </rPr>
      <t>) की दर सलेक्ट करें :-</t>
    </r>
  </si>
  <si>
    <t>GPF/GPF-2004</t>
  </si>
  <si>
    <t>इन्कम टैक्स दर :-</t>
  </si>
  <si>
    <t>Amount in Words :-</t>
  </si>
  <si>
    <t>Drawing &amp; Despersal Officer</t>
  </si>
  <si>
    <t>S.R.</t>
  </si>
  <si>
    <t>For Copying And Necessary Action -</t>
  </si>
  <si>
    <t>Treasury Officer / Deputy treasury  Officer</t>
  </si>
  <si>
    <t>Related Employee Sh./Smt./Mis.</t>
  </si>
  <si>
    <t>File Register</t>
  </si>
  <si>
    <t>Total Pay Due</t>
  </si>
  <si>
    <t>Total Pay Drawn</t>
  </si>
  <si>
    <t>Total Difference</t>
  </si>
  <si>
    <t>Total Net Pay</t>
  </si>
  <si>
    <t>Pay Due</t>
  </si>
  <si>
    <t>Pay Drawn</t>
  </si>
  <si>
    <t>Pay Difference</t>
  </si>
  <si>
    <t>Month</t>
  </si>
  <si>
    <t>Drawn</t>
  </si>
  <si>
    <t>Due</t>
  </si>
  <si>
    <t>Diff.</t>
  </si>
  <si>
    <t>Deductions</t>
  </si>
  <si>
    <t>Total Deduction</t>
  </si>
  <si>
    <t>(दोनों कॉलम के माह एक होने चाहिए)</t>
  </si>
  <si>
    <t>Programmer  &amp;   Presented By</t>
  </si>
  <si>
    <t>HEERA LAL JAT</t>
  </si>
  <si>
    <t>V./P. -  CHANDAWAL NAGAR , SOJAT (PALI)</t>
  </si>
  <si>
    <t>heeralaljatchandawal@gmail.com</t>
  </si>
  <si>
    <t>नोट :-  वैसे एम.ए.सी.पी. प्रोग्राम तैयार करने में पूरी सावधानी बरती गयी है , फिर भी आप एतिहात के तौर पर जरुर चैक करे I किसी भी त्रुटि के लिए निर्माणकर्ता जिम्मेदार नहीं होगा I</t>
  </si>
  <si>
    <t>Sr. Teacher at MGGS BAR (BEAWAR)</t>
  </si>
  <si>
    <t>PASSWORD</t>
  </si>
  <si>
    <t>MACP/2023</t>
  </si>
  <si>
    <t xml:space="preserve">यू ट्यूब विडियो का लिंक </t>
  </si>
  <si>
    <t>https://youtu.be/CTO9jlCJH9U</t>
  </si>
  <si>
    <t>( Rs.   /-  Only  )</t>
  </si>
  <si>
    <t>Bill Date &amp; 
T.V. No.</t>
  </si>
  <si>
    <t>11 /
2-4-2023</t>
  </si>
  <si>
    <t>12 /
2-4-2023</t>
  </si>
  <si>
    <t>13 /
2-4-2023</t>
  </si>
  <si>
    <t>14 /
2-4-2023</t>
  </si>
  <si>
    <t>15 /
2-4-2023</t>
  </si>
  <si>
    <t>16 /
2-4-2023</t>
  </si>
  <si>
    <t>17 /
2-4-2023</t>
  </si>
  <si>
    <t>18 /
2-4-2023</t>
  </si>
  <si>
    <t xml:space="preserve">SHEET UPDATE ON </t>
  </si>
  <si>
    <t>19 /
2-4-2023</t>
  </si>
  <si>
    <r>
      <t>एमएसीपी (</t>
    </r>
    <r>
      <rPr>
        <b/>
        <u val="double"/>
        <sz val="14"/>
        <color rgb="FF0000CC"/>
        <rFont val="Calibri"/>
        <family val="2"/>
        <scheme val="minor"/>
      </rPr>
      <t>MACP</t>
    </r>
    <r>
      <rPr>
        <b/>
        <u val="double"/>
        <sz val="12"/>
        <color rgb="FF0000CC"/>
        <rFont val="Calibri"/>
        <family val="2"/>
        <scheme val="minor"/>
      </rPr>
      <t xml:space="preserve">) के लिए डाटा एंट्री </t>
    </r>
  </si>
  <si>
    <r>
      <t>एसीपी (</t>
    </r>
    <r>
      <rPr>
        <b/>
        <u val="double"/>
        <sz val="14"/>
        <color rgb="FF0000CC"/>
        <rFont val="Calibri"/>
        <family val="2"/>
        <scheme val="minor"/>
      </rPr>
      <t>ACP</t>
    </r>
    <r>
      <rPr>
        <b/>
        <u val="double"/>
        <sz val="12"/>
        <color rgb="FF0000CC"/>
        <rFont val="Calibri"/>
        <family val="2"/>
        <scheme val="minor"/>
      </rPr>
      <t>) से रिवाइज्ड एमएसीपी (</t>
    </r>
    <r>
      <rPr>
        <b/>
        <u val="double"/>
        <sz val="14"/>
        <color rgb="FF0000CC"/>
        <rFont val="Calibri"/>
        <family val="2"/>
        <scheme val="minor"/>
      </rPr>
      <t>Revised MACP)</t>
    </r>
    <r>
      <rPr>
        <b/>
        <u val="double"/>
        <sz val="12"/>
        <color rgb="FF0000CC"/>
        <rFont val="Calibri"/>
        <family val="2"/>
        <scheme val="minor"/>
      </rPr>
      <t xml:space="preserve"> के लिए डाटा एंट्री </t>
    </r>
  </si>
  <si>
    <t>Click Here 
For Revised MACP</t>
  </si>
  <si>
    <t>20 /
2-4-2023</t>
  </si>
  <si>
    <t>21 /
2-4-2023</t>
  </si>
  <si>
    <t>22 /
2-4-2023</t>
  </si>
  <si>
    <t>23 /
2-4-2023</t>
  </si>
  <si>
    <t>24 /
2-4-2023</t>
  </si>
  <si>
    <t>25 /
2-4-2023</t>
  </si>
  <si>
    <t>26 /
2-4-2023</t>
  </si>
  <si>
    <t xml:space="preserve">एरियर शीट के प्रिंट में जो अतिरिक्त ब्लेंक रॉ आ रही है , उसे हाईड कर सकते हैI </t>
  </si>
  <si>
    <r>
      <rPr>
        <b/>
        <sz val="12"/>
        <color rgb="FF7030A0"/>
        <rFont val="Calibri"/>
        <family val="2"/>
        <scheme val="minor"/>
      </rPr>
      <t>नोट :-</t>
    </r>
    <r>
      <rPr>
        <b/>
        <sz val="11"/>
        <color theme="1"/>
        <rFont val="Calibri"/>
        <family val="2"/>
        <scheme val="minor"/>
      </rPr>
      <t xml:space="preserve">  आपके कम्प्यूटर का डेट फॉरमेट  </t>
    </r>
    <r>
      <rPr>
        <b/>
        <u/>
        <sz val="11"/>
        <color theme="1"/>
        <rFont val="Calibri"/>
        <family val="2"/>
        <scheme val="minor"/>
      </rPr>
      <t>DD/MM/YYYY</t>
    </r>
    <r>
      <rPr>
        <b/>
        <sz val="11"/>
        <color theme="1"/>
        <rFont val="Calibri"/>
        <family val="2"/>
        <scheme val="minor"/>
      </rPr>
      <t xml:space="preserve">  होना चाहिए </t>
    </r>
  </si>
  <si>
    <t>( नवम्बर 2024 से पहले का मकान किराया दर स्वतः ले लेगा )</t>
  </si>
  <si>
    <t>Before Nov.- 24</t>
  </si>
</sst>
</file>

<file path=xl/styles.xml><?xml version="1.0" encoding="utf-8"?>
<styleSheet xmlns="http://schemas.openxmlformats.org/spreadsheetml/2006/main">
  <numFmts count="6">
    <numFmt numFmtId="164" formatCode="\L\ \-\ 0"/>
    <numFmt numFmtId="165" formatCode="00"/>
    <numFmt numFmtId="166" formatCode="0000"/>
    <numFmt numFmtId="167" formatCode="dd/mm/yyyy"/>
    <numFmt numFmtId="168" formatCode="mmm/yyyy"/>
    <numFmt numFmtId="169" formatCode="[$-409]mmmm/yy;@"/>
  </numFmts>
  <fonts count="86">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u val="double"/>
      <sz val="12"/>
      <color rgb="FFCC00CC"/>
      <name val="Calibri"/>
      <family val="2"/>
      <scheme val="minor"/>
    </font>
    <font>
      <b/>
      <u val="double"/>
      <sz val="14"/>
      <color rgb="FF0000CC"/>
      <name val="Calibri"/>
      <family val="2"/>
      <scheme val="minor"/>
    </font>
    <font>
      <sz val="11"/>
      <color rgb="FF66FF33"/>
      <name val="Calibri"/>
      <family val="2"/>
      <scheme val="minor"/>
    </font>
    <font>
      <sz val="11"/>
      <color rgb="FF66FF66"/>
      <name val="Calibri"/>
      <family val="2"/>
      <scheme val="minor"/>
    </font>
    <font>
      <sz val="16"/>
      <color rgb="FF0000CC"/>
      <name val="Wingdings"/>
      <charset val="2"/>
    </font>
    <font>
      <sz val="11"/>
      <color rgb="FF0000CC"/>
      <name val="Calibri"/>
      <family val="2"/>
      <scheme val="minor"/>
    </font>
    <font>
      <sz val="11"/>
      <color theme="7" tint="-0.249977111117893"/>
      <name val="Calibri"/>
      <family val="2"/>
      <scheme val="minor"/>
    </font>
    <font>
      <b/>
      <sz val="13"/>
      <color theme="1"/>
      <name val="Calibri"/>
      <family val="2"/>
      <scheme val="minor"/>
    </font>
    <font>
      <b/>
      <u val="double"/>
      <sz val="14"/>
      <color rgb="FFCC00CC"/>
      <name val="Calibri"/>
      <family val="2"/>
      <scheme val="minor"/>
    </font>
    <font>
      <b/>
      <sz val="13"/>
      <color rgb="FFFF0000"/>
      <name val="Calibri"/>
      <family val="2"/>
      <scheme val="minor"/>
    </font>
    <font>
      <sz val="10"/>
      <color theme="1"/>
      <name val="Calibri"/>
      <family val="2"/>
      <scheme val="minor"/>
    </font>
    <font>
      <b/>
      <u val="double"/>
      <sz val="12"/>
      <color rgb="FF0000CC"/>
      <name val="Calibri"/>
      <family val="2"/>
      <scheme val="minor"/>
    </font>
    <font>
      <b/>
      <u/>
      <sz val="16"/>
      <color theme="1"/>
      <name val="Calibri"/>
      <family val="2"/>
      <scheme val="minor"/>
    </font>
    <font>
      <u val="double"/>
      <sz val="11"/>
      <color theme="1"/>
      <name val="Calibri"/>
      <family val="2"/>
      <scheme val="minor"/>
    </font>
    <font>
      <b/>
      <u/>
      <sz val="11"/>
      <color theme="1"/>
      <name val="Calibri"/>
      <family val="2"/>
      <scheme val="minor"/>
    </font>
    <font>
      <b/>
      <u val="double"/>
      <sz val="12"/>
      <color theme="1"/>
      <name val="Calibri"/>
      <family val="2"/>
      <scheme val="minor"/>
    </font>
    <font>
      <b/>
      <u/>
      <sz val="14"/>
      <color theme="1"/>
      <name val="Calibri"/>
      <family val="2"/>
      <scheme val="minor"/>
    </font>
    <font>
      <sz val="10.5"/>
      <color theme="1"/>
      <name val="Calibri"/>
      <family val="2"/>
      <scheme val="minor"/>
    </font>
    <font>
      <sz val="11"/>
      <color rgb="FF002060"/>
      <name val="Calibri"/>
      <family val="2"/>
      <scheme val="minor"/>
    </font>
    <font>
      <sz val="11"/>
      <name val="Calibri"/>
      <family val="2"/>
      <scheme val="minor"/>
    </font>
    <font>
      <sz val="10.5"/>
      <name val="Calibri"/>
      <family val="2"/>
      <scheme val="minor"/>
    </font>
    <font>
      <b/>
      <sz val="12"/>
      <name val="Calibri"/>
      <family val="2"/>
      <scheme val="minor"/>
    </font>
    <font>
      <b/>
      <sz val="11"/>
      <name val="Calibri"/>
      <family val="2"/>
      <scheme val="minor"/>
    </font>
    <font>
      <sz val="12"/>
      <color theme="1"/>
      <name val="Calibri"/>
      <family val="2"/>
      <scheme val="minor"/>
    </font>
    <font>
      <b/>
      <u/>
      <sz val="12"/>
      <color theme="1"/>
      <name val="Calibri"/>
      <family val="2"/>
      <scheme val="minor"/>
    </font>
    <font>
      <sz val="13"/>
      <color theme="1"/>
      <name val="Calibri"/>
      <family val="2"/>
      <scheme val="minor"/>
    </font>
    <font>
      <b/>
      <sz val="11.5"/>
      <color theme="1"/>
      <name val="Calibri"/>
      <family val="2"/>
      <scheme val="minor"/>
    </font>
    <font>
      <b/>
      <sz val="10"/>
      <color theme="1"/>
      <name val="Calibri"/>
      <family val="2"/>
      <scheme val="minor"/>
    </font>
    <font>
      <b/>
      <u/>
      <sz val="12"/>
      <color rgb="FFFF0000"/>
      <name val="Calibri"/>
      <family val="2"/>
      <scheme val="minor"/>
    </font>
    <font>
      <sz val="11"/>
      <color theme="5" tint="-0.249977111117893"/>
      <name val="Calibri"/>
      <family val="2"/>
      <scheme val="minor"/>
    </font>
    <font>
      <b/>
      <sz val="11"/>
      <color rgb="FFFF0000"/>
      <name val="Calibri"/>
      <family val="2"/>
      <scheme val="minor"/>
    </font>
    <font>
      <sz val="11"/>
      <color theme="0" tint="-0.34998626667073579"/>
      <name val="Calibri"/>
      <family val="2"/>
      <scheme val="minor"/>
    </font>
    <font>
      <b/>
      <sz val="12"/>
      <color rgb="FF0000CC"/>
      <name val="Calibri"/>
      <family val="2"/>
      <scheme val="minor"/>
    </font>
    <font>
      <b/>
      <sz val="11"/>
      <color rgb="FFCC00CC"/>
      <name val="Calibri"/>
      <family val="2"/>
      <scheme val="minor"/>
    </font>
    <font>
      <b/>
      <sz val="12"/>
      <color rgb="FFCC00CC"/>
      <name val="Calibri"/>
      <family val="2"/>
      <scheme val="minor"/>
    </font>
    <font>
      <b/>
      <sz val="11"/>
      <color rgb="FF0000CC"/>
      <name val="Calibri"/>
      <family val="2"/>
      <scheme val="minor"/>
    </font>
    <font>
      <b/>
      <sz val="10"/>
      <color rgb="FFCC00CC"/>
      <name val="Calibri"/>
      <family val="2"/>
      <scheme val="minor"/>
    </font>
    <font>
      <b/>
      <sz val="18"/>
      <color rgb="FFC00000"/>
      <name val="Calibri"/>
      <family val="2"/>
      <scheme val="minor"/>
    </font>
    <font>
      <b/>
      <sz val="14"/>
      <name val="Calibri"/>
      <family val="2"/>
      <scheme val="minor"/>
    </font>
    <font>
      <b/>
      <sz val="12"/>
      <color rgb="FF0033CC"/>
      <name val="Calibri"/>
      <family val="2"/>
      <scheme val="minor"/>
    </font>
    <font>
      <b/>
      <i/>
      <u/>
      <sz val="14"/>
      <name val="Calibri"/>
      <family val="2"/>
      <scheme val="minor"/>
    </font>
    <font>
      <b/>
      <sz val="11"/>
      <color rgb="FFC00000"/>
      <name val="Calibri"/>
      <family val="2"/>
      <scheme val="minor"/>
    </font>
    <font>
      <b/>
      <u/>
      <sz val="13"/>
      <color theme="1"/>
      <name val="Calibri"/>
      <family val="2"/>
      <scheme val="minor"/>
    </font>
    <font>
      <sz val="11"/>
      <color theme="0"/>
      <name val="Calibri"/>
      <family val="2"/>
      <scheme val="minor"/>
    </font>
    <font>
      <b/>
      <sz val="11"/>
      <color theme="5" tint="-0.499984740745262"/>
      <name val="Calibri"/>
      <family val="2"/>
      <scheme val="minor"/>
    </font>
    <font>
      <b/>
      <sz val="14"/>
      <color theme="5" tint="-0.499984740745262"/>
      <name val="Calibri"/>
      <family val="2"/>
      <scheme val="minor"/>
    </font>
    <font>
      <b/>
      <u/>
      <sz val="14"/>
      <name val="Calibri"/>
      <family val="2"/>
      <scheme val="minor"/>
    </font>
    <font>
      <b/>
      <i/>
      <u val="double"/>
      <sz val="20"/>
      <name val="Cambria"/>
      <family val="1"/>
      <scheme val="major"/>
    </font>
    <font>
      <b/>
      <u/>
      <sz val="16"/>
      <color rgb="FF0000CC"/>
      <name val="Calibri"/>
      <family val="2"/>
      <scheme val="minor"/>
    </font>
    <font>
      <b/>
      <sz val="11"/>
      <color theme="0"/>
      <name val="Calibri"/>
      <family val="2"/>
      <scheme val="minor"/>
    </font>
    <font>
      <b/>
      <sz val="9"/>
      <color theme="1"/>
      <name val="Calibri"/>
      <family val="2"/>
      <scheme val="minor"/>
    </font>
    <font>
      <b/>
      <sz val="12"/>
      <color theme="1"/>
      <name val="Cambria"/>
      <family val="1"/>
      <scheme val="major"/>
    </font>
    <font>
      <b/>
      <sz val="12"/>
      <color rgb="FFC00000"/>
      <name val="Calibri"/>
      <family val="2"/>
      <scheme val="minor"/>
    </font>
    <font>
      <b/>
      <sz val="14"/>
      <color rgb="FFC00000"/>
      <name val="Calibri"/>
      <family val="2"/>
      <scheme val="minor"/>
    </font>
    <font>
      <b/>
      <sz val="13"/>
      <color rgb="FFC00000"/>
      <name val="Calibri"/>
      <family val="2"/>
      <scheme val="minor"/>
    </font>
    <font>
      <b/>
      <sz val="13"/>
      <color rgb="FF0000CC"/>
      <name val="Calibri"/>
      <family val="2"/>
      <scheme val="minor"/>
    </font>
    <font>
      <b/>
      <i/>
      <sz val="13"/>
      <color theme="1"/>
      <name val="Calibri"/>
      <family val="2"/>
      <scheme val="minor"/>
    </font>
    <font>
      <i/>
      <sz val="12"/>
      <color theme="1"/>
      <name val="Calibri"/>
      <family val="2"/>
      <scheme val="minor"/>
    </font>
    <font>
      <sz val="14"/>
      <color theme="1"/>
      <name val="Calibri"/>
      <family val="2"/>
      <scheme val="minor"/>
    </font>
    <font>
      <sz val="14"/>
      <color theme="1"/>
      <name val="Kruti Dev 010"/>
    </font>
    <font>
      <sz val="14"/>
      <color theme="1"/>
      <name val="DevLys 010"/>
    </font>
    <font>
      <b/>
      <sz val="10"/>
      <color rgb="FFFF0000"/>
      <name val="Calibri"/>
      <family val="2"/>
      <scheme val="minor"/>
    </font>
    <font>
      <sz val="11"/>
      <color theme="6" tint="0.39997558519241921"/>
      <name val="Calibri"/>
      <family val="2"/>
      <scheme val="minor"/>
    </font>
    <font>
      <sz val="18"/>
      <color rgb="FFC00000"/>
      <name val="Wingdings"/>
      <charset val="2"/>
    </font>
    <font>
      <b/>
      <sz val="10.5"/>
      <color rgb="FF7030A0"/>
      <name val="Calibri"/>
      <family val="2"/>
      <scheme val="minor"/>
    </font>
    <font>
      <b/>
      <sz val="12"/>
      <color rgb="FFFF0000"/>
      <name val="Calibri"/>
      <family val="2"/>
      <scheme val="minor"/>
    </font>
    <font>
      <b/>
      <i/>
      <u/>
      <sz val="18"/>
      <color rgb="FF7030A0"/>
      <name val="Calibri"/>
      <family val="2"/>
      <scheme val="minor"/>
    </font>
    <font>
      <b/>
      <i/>
      <sz val="16"/>
      <color rgb="FFD60093"/>
      <name val="Calibri"/>
      <family val="2"/>
      <scheme val="minor"/>
    </font>
    <font>
      <b/>
      <i/>
      <sz val="16"/>
      <color theme="1"/>
      <name val="Calibri"/>
      <family val="2"/>
      <scheme val="minor"/>
    </font>
    <font>
      <b/>
      <i/>
      <sz val="16"/>
      <color rgb="FFFF0000"/>
      <name val="Calibri"/>
      <family val="2"/>
      <scheme val="minor"/>
    </font>
    <font>
      <u/>
      <sz val="10"/>
      <color theme="10"/>
      <name val="Arial"/>
      <family val="2"/>
    </font>
    <font>
      <b/>
      <i/>
      <u/>
      <sz val="18"/>
      <color theme="9" tint="-0.499984740745262"/>
      <name val="Calibri"/>
      <family val="2"/>
    </font>
    <font>
      <b/>
      <u/>
      <sz val="14"/>
      <color theme="10"/>
      <name val="Calibri"/>
      <family val="2"/>
      <scheme val="minor"/>
    </font>
    <font>
      <b/>
      <u/>
      <sz val="14"/>
      <color theme="10"/>
      <name val="Arial"/>
      <family val="2"/>
    </font>
    <font>
      <b/>
      <i/>
      <u val="double"/>
      <sz val="20"/>
      <color rgb="FFFF0000"/>
      <name val="Cambria"/>
      <family val="1"/>
      <scheme val="major"/>
    </font>
    <font>
      <b/>
      <sz val="8"/>
      <name val="Calibri"/>
      <family val="2"/>
      <scheme val="minor"/>
    </font>
    <font>
      <b/>
      <sz val="13"/>
      <color rgb="FFCC00CC"/>
      <name val="Calibri"/>
      <family val="2"/>
      <scheme val="minor"/>
    </font>
    <font>
      <sz val="11"/>
      <color rgb="FFFF0000"/>
      <name val="Calibri"/>
      <family val="2"/>
      <scheme val="minor"/>
    </font>
    <font>
      <b/>
      <sz val="11"/>
      <color rgb="FFCCFF99"/>
      <name val="Calibri"/>
      <family val="2"/>
      <scheme val="minor"/>
    </font>
    <font>
      <sz val="11"/>
      <color rgb="FFCCFF99"/>
      <name val="Calibri"/>
      <family val="2"/>
      <scheme val="minor"/>
    </font>
    <font>
      <b/>
      <sz val="12"/>
      <color rgb="FF7030A0"/>
      <name val="Calibri"/>
      <family val="2"/>
      <scheme val="minor"/>
    </font>
    <font>
      <b/>
      <sz val="10"/>
      <color rgb="FF7030A0"/>
      <name val="Calibri"/>
      <family val="2"/>
      <scheme val="minor"/>
    </font>
  </fonts>
  <fills count="23">
    <fill>
      <patternFill patternType="none"/>
    </fill>
    <fill>
      <patternFill patternType="gray125"/>
    </fill>
    <fill>
      <patternFill patternType="solid">
        <fgColor rgb="FF66FF66"/>
        <bgColor indexed="64"/>
      </patternFill>
    </fill>
    <fill>
      <gradientFill degree="90">
        <stop position="0">
          <color theme="5" tint="0.40000610370189521"/>
        </stop>
        <stop position="1">
          <color rgb="FF92D050"/>
        </stop>
      </gradientFill>
    </fill>
    <fill>
      <gradientFill degree="90">
        <stop position="0">
          <color rgb="FF92D050"/>
        </stop>
        <stop position="1">
          <color theme="5" tint="0.40000610370189521"/>
        </stop>
      </gradientFill>
    </fill>
    <fill>
      <gradientFill degree="45">
        <stop position="0">
          <color theme="8" tint="0.40000610370189521"/>
        </stop>
        <stop position="1">
          <color theme="9"/>
        </stop>
      </gradientFill>
    </fill>
    <fill>
      <gradientFill>
        <stop position="0">
          <color theme="8" tint="0.40000610370189521"/>
        </stop>
        <stop position="1">
          <color theme="6"/>
        </stop>
      </gradientFill>
    </fill>
    <fill>
      <gradientFill degree="90">
        <stop position="0">
          <color theme="7" tint="0.40000610370189521"/>
        </stop>
        <stop position="1">
          <color theme="6" tint="0.40000610370189521"/>
        </stop>
      </gradientFill>
    </fill>
    <fill>
      <gradientFill degree="90">
        <stop position="0">
          <color theme="7" tint="0.40000610370189521"/>
        </stop>
        <stop position="1">
          <color theme="4" tint="0.40000610370189521"/>
        </stop>
      </gradientFill>
    </fill>
    <fill>
      <patternFill patternType="solid">
        <fgColor rgb="FFCCFF99"/>
        <bgColor indexed="64"/>
      </patternFill>
    </fill>
    <fill>
      <patternFill patternType="solid">
        <fgColor theme="5" tint="0.39997558519241921"/>
        <bgColor indexed="64"/>
      </patternFill>
    </fill>
    <fill>
      <gradientFill type="path" left="0.5" right="0.5" top="0.5" bottom="0.5">
        <stop position="0">
          <color theme="0"/>
        </stop>
        <stop position="1">
          <color theme="4"/>
        </stop>
      </gradientFill>
    </fill>
    <fill>
      <patternFill patternType="solid">
        <fgColor theme="6" tint="0.59999389629810485"/>
        <bgColor indexed="64"/>
      </patternFill>
    </fill>
    <fill>
      <gradientFill degree="90">
        <stop position="0">
          <color theme="5" tint="0.40000610370189521"/>
        </stop>
        <stop position="1">
          <color theme="4"/>
        </stop>
      </gradientFill>
    </fill>
    <fill>
      <gradientFill>
        <stop position="0">
          <color theme="5" tint="0.40000610370189521"/>
        </stop>
        <stop position="1">
          <color theme="4"/>
        </stop>
      </gradientFill>
    </fill>
    <fill>
      <patternFill patternType="solid">
        <fgColor theme="8"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CC00CC"/>
      </left>
      <right/>
      <top style="medium">
        <color rgb="FFCC00CC"/>
      </top>
      <bottom style="medium">
        <color rgb="FFCC00CC"/>
      </bottom>
      <diagonal/>
    </border>
    <border>
      <left/>
      <right/>
      <top style="medium">
        <color rgb="FFCC00CC"/>
      </top>
      <bottom style="medium">
        <color rgb="FFCC00CC"/>
      </bottom>
      <diagonal/>
    </border>
    <border>
      <left/>
      <right style="medium">
        <color rgb="FFCC00CC"/>
      </right>
      <top style="medium">
        <color rgb="FFCC00CC"/>
      </top>
      <bottom style="medium">
        <color rgb="FFCC00CC"/>
      </bottom>
      <diagonal/>
    </border>
  </borders>
  <cellStyleXfs count="2">
    <xf numFmtId="0" fontId="0" fillId="0" borderId="0"/>
    <xf numFmtId="0" fontId="74" fillId="0" borderId="0" applyNumberFormat="0" applyFill="0" applyBorder="0" applyAlignment="0" applyProtection="0">
      <alignment vertical="top"/>
      <protection locked="0"/>
    </xf>
  </cellStyleXfs>
  <cellXfs count="370">
    <xf numFmtId="0" fontId="0" fillId="0" borderId="0" xfId="0"/>
    <xf numFmtId="0" fontId="0" fillId="2" borderId="0" xfId="0" applyFill="1" applyProtection="1">
      <protection hidden="1"/>
    </xf>
    <xf numFmtId="0" fontId="0" fillId="4" borderId="0" xfId="0" applyFill="1" applyProtection="1">
      <protection hidden="1"/>
    </xf>
    <xf numFmtId="0" fontId="0" fillId="4" borderId="0" xfId="0" applyFill="1" applyAlignment="1" applyProtection="1">
      <alignment horizontal="right" vertical="center"/>
      <protection hidden="1"/>
    </xf>
    <xf numFmtId="0" fontId="0" fillId="4" borderId="0" xfId="0" applyFill="1" applyAlignment="1" applyProtection="1">
      <alignment horizontal="center" vertical="center"/>
      <protection hidden="1"/>
    </xf>
    <xf numFmtId="0" fontId="0" fillId="0" borderId="0" xfId="0" applyProtection="1">
      <protection hidden="1"/>
    </xf>
    <xf numFmtId="0" fontId="0" fillId="3" borderId="0" xfId="0" applyFill="1" applyProtection="1">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0" fontId="1" fillId="5" borderId="0" xfId="0" applyFont="1" applyFill="1" applyAlignment="1" applyProtection="1">
      <alignment horizontal="right" vertical="center"/>
      <protection hidden="1"/>
    </xf>
    <xf numFmtId="0" fontId="2" fillId="2" borderId="0" xfId="0" applyFont="1" applyFill="1" applyAlignment="1" applyProtection="1">
      <alignment vertical="center"/>
      <protection hidden="1"/>
    </xf>
    <xf numFmtId="0" fontId="1" fillId="2" borderId="0" xfId="0" applyFont="1" applyFill="1" applyAlignment="1" applyProtection="1">
      <alignment horizontal="right" vertical="center"/>
      <protection hidden="1"/>
    </xf>
    <xf numFmtId="0" fontId="1" fillId="6" borderId="0" xfId="0" applyFont="1" applyFill="1" applyAlignment="1" applyProtection="1">
      <alignment horizontal="right" vertical="center"/>
      <protection hidden="1"/>
    </xf>
    <xf numFmtId="0" fontId="1" fillId="7"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7" fillId="2" borderId="0" xfId="0" applyFont="1" applyFill="1" applyProtection="1">
      <protection hidden="1"/>
    </xf>
    <xf numFmtId="0" fontId="4" fillId="2" borderId="0" xfId="0" applyFont="1" applyFill="1" applyAlignment="1" applyProtection="1">
      <alignment vertical="center"/>
      <protection hidden="1"/>
    </xf>
    <xf numFmtId="164" fontId="1" fillId="0" borderId="0" xfId="0" applyNumberFormat="1" applyFont="1" applyFill="1" applyAlignment="1" applyProtection="1">
      <alignment horizontal="center" vertical="center"/>
      <protection locked="0"/>
    </xf>
    <xf numFmtId="0" fontId="8" fillId="2" borderId="0" xfId="0" applyFont="1" applyFill="1" applyAlignment="1" applyProtection="1">
      <alignment horizontal="center" vertical="center"/>
      <protection hidden="1"/>
    </xf>
    <xf numFmtId="0" fontId="9" fillId="2" borderId="0" xfId="0" applyFont="1" applyFill="1" applyProtection="1">
      <protection hidden="1"/>
    </xf>
    <xf numFmtId="165" fontId="2" fillId="0" borderId="0" xfId="0" applyNumberFormat="1" applyFont="1" applyFill="1" applyAlignment="1" applyProtection="1">
      <alignment horizontal="center" vertical="center"/>
      <protection locked="0"/>
    </xf>
    <xf numFmtId="166" fontId="2" fillId="0"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hidden="1"/>
    </xf>
    <xf numFmtId="164" fontId="2" fillId="0" borderId="0" xfId="0" applyNumberFormat="1"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hidden="1"/>
    </xf>
    <xf numFmtId="0" fontId="5" fillId="8" borderId="0" xfId="0" applyFont="1" applyFill="1" applyAlignment="1" applyProtection="1">
      <alignment vertical="center"/>
      <protection hidden="1"/>
    </xf>
    <xf numFmtId="0" fontId="0" fillId="2" borderId="0" xfId="0" applyFill="1" applyAlignment="1" applyProtection="1">
      <alignment horizontal="right"/>
      <protection hidden="1"/>
    </xf>
    <xf numFmtId="0" fontId="2" fillId="0" borderId="0" xfId="0" applyFont="1" applyFill="1" applyAlignment="1" applyProtection="1">
      <alignment horizontal="center" vertical="center"/>
      <protection locked="0"/>
    </xf>
    <xf numFmtId="0" fontId="0" fillId="9" borderId="0" xfId="0" applyFill="1" applyProtection="1">
      <protection hidden="1"/>
    </xf>
    <xf numFmtId="0" fontId="1" fillId="9" borderId="0" xfId="0" applyFont="1" applyFill="1" applyAlignment="1" applyProtection="1">
      <alignment horizontal="right" vertical="center"/>
      <protection hidden="1"/>
    </xf>
    <xf numFmtId="0" fontId="0" fillId="9" borderId="0" xfId="0" applyFill="1" applyAlignment="1" applyProtection="1">
      <alignment horizontal="right" vertical="center"/>
      <protection hidden="1"/>
    </xf>
    <xf numFmtId="0" fontId="0" fillId="9" borderId="0" xfId="0" applyFill="1" applyAlignment="1" applyProtection="1">
      <alignment horizontal="center" vertical="center"/>
      <protection hidden="1"/>
    </xf>
    <xf numFmtId="0" fontId="1" fillId="9" borderId="0" xfId="0" applyFont="1" applyFill="1" applyAlignment="1" applyProtection="1">
      <alignment horizontal="center" vertical="center"/>
      <protection hidden="1"/>
    </xf>
    <xf numFmtId="164" fontId="2" fillId="9" borderId="0" xfId="0" applyNumberFormat="1" applyFont="1" applyFill="1" applyAlignment="1" applyProtection="1">
      <alignment horizontal="center" vertical="center"/>
      <protection hidden="1"/>
    </xf>
    <xf numFmtId="164" fontId="2" fillId="0" borderId="4"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0" fillId="10" borderId="0" xfId="0" applyFill="1" applyProtection="1">
      <protection hidden="1"/>
    </xf>
    <xf numFmtId="0" fontId="0" fillId="11" borderId="0" xfId="0" applyFill="1" applyProtection="1">
      <protection hidden="1"/>
    </xf>
    <xf numFmtId="0" fontId="0" fillId="10" borderId="0" xfId="0" applyFill="1" applyAlignment="1" applyProtection="1">
      <alignment horizontal="center" vertical="center"/>
      <protection hidden="1"/>
    </xf>
    <xf numFmtId="0" fontId="1" fillId="9" borderId="0" xfId="0" applyFont="1" applyFill="1" applyAlignment="1" applyProtection="1">
      <alignment horizontal="center" vertical="center"/>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0" xfId="0" applyBorder="1" applyProtection="1">
      <protection hidden="1"/>
    </xf>
    <xf numFmtId="0" fontId="0" fillId="0" borderId="17" xfId="0" applyBorder="1" applyProtection="1">
      <protection hidden="1"/>
    </xf>
    <xf numFmtId="0" fontId="27" fillId="0" borderId="0" xfId="0" applyFont="1" applyBorder="1" applyAlignment="1" applyProtection="1">
      <alignment horizontal="center" vertical="center"/>
      <protection hidden="1"/>
    </xf>
    <xf numFmtId="0" fontId="0" fillId="0" borderId="17" xfId="0" applyBorder="1" applyAlignment="1" applyProtection="1">
      <protection hidden="1"/>
    </xf>
    <xf numFmtId="0" fontId="27" fillId="0" borderId="0" xfId="0" applyFont="1" applyBorder="1" applyAlignment="1" applyProtection="1">
      <alignment horizontal="right" vertical="top"/>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0" fillId="0" borderId="16" xfId="0" quotePrefix="1" applyBorder="1" applyAlignment="1" applyProtection="1">
      <alignment horizontal="center"/>
      <protection hidden="1"/>
    </xf>
    <xf numFmtId="0" fontId="0" fillId="0" borderId="0" xfId="0" applyBorder="1" applyAlignment="1" applyProtection="1">
      <alignment horizontal="center"/>
      <protection hidden="1"/>
    </xf>
    <xf numFmtId="0" fontId="0" fillId="0" borderId="17" xfId="0" applyBorder="1" applyAlignment="1" applyProtection="1">
      <alignment horizontal="center"/>
      <protection hidden="1"/>
    </xf>
    <xf numFmtId="0" fontId="0" fillId="12" borderId="0" xfId="0" applyFill="1" applyProtection="1">
      <protection hidden="1"/>
    </xf>
    <xf numFmtId="0" fontId="1" fillId="15" borderId="1" xfId="0" applyFont="1" applyFill="1" applyBorder="1" applyAlignment="1" applyProtection="1">
      <alignment horizontal="center" vertical="center"/>
      <protection hidden="1"/>
    </xf>
    <xf numFmtId="0" fontId="14" fillId="15" borderId="2" xfId="0" applyFont="1" applyFill="1" applyBorder="1" applyAlignment="1" applyProtection="1">
      <alignment horizontal="center" vertical="center"/>
      <protection hidden="1"/>
    </xf>
    <xf numFmtId="0" fontId="14" fillId="15" borderId="3" xfId="0" applyFont="1" applyFill="1" applyBorder="1" applyAlignment="1" applyProtection="1">
      <alignment horizontal="center" vertical="center"/>
      <protection hidden="1"/>
    </xf>
    <xf numFmtId="0" fontId="14" fillId="15"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4" xfId="0" applyBorder="1" applyProtection="1">
      <protection hidden="1"/>
    </xf>
    <xf numFmtId="0" fontId="17"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18"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0" fillId="0" borderId="1" xfId="0" applyBorder="1" applyProtection="1">
      <protection hidden="1"/>
    </xf>
    <xf numFmtId="0" fontId="0" fillId="0" borderId="0" xfId="0" applyFont="1" applyProtection="1">
      <protection hidden="1"/>
    </xf>
    <xf numFmtId="0" fontId="22" fillId="0" borderId="0" xfId="0" applyFont="1" applyAlignment="1" applyProtection="1">
      <alignment vertical="center"/>
      <protection hidden="1"/>
    </xf>
    <xf numFmtId="0" fontId="23" fillId="0" borderId="0" xfId="0" applyFont="1" applyAlignment="1" applyProtection="1">
      <alignment horizontal="left" vertical="center"/>
      <protection hidden="1"/>
    </xf>
    <xf numFmtId="0" fontId="23" fillId="0" borderId="0" xfId="0" applyFont="1" applyProtection="1">
      <protection hidden="1"/>
    </xf>
    <xf numFmtId="0" fontId="23" fillId="0" borderId="0" xfId="0" applyFont="1" applyAlignment="1" applyProtection="1">
      <alignment vertical="center"/>
      <protection hidden="1"/>
    </xf>
    <xf numFmtId="0" fontId="23" fillId="0" borderId="0" xfId="0" applyFont="1" applyAlignment="1" applyProtection="1">
      <alignment horizontal="right" vertical="center"/>
      <protection hidden="1"/>
    </xf>
    <xf numFmtId="0" fontId="24" fillId="0" borderId="0" xfId="0" applyFont="1" applyAlignment="1" applyProtection="1">
      <alignment horizontal="right" vertical="center" wrapText="1"/>
      <protection hidden="1"/>
    </xf>
    <xf numFmtId="0" fontId="24" fillId="0" borderId="0" xfId="0" applyFont="1" applyProtection="1">
      <protection hidden="1"/>
    </xf>
    <xf numFmtId="0" fontId="0" fillId="16" borderId="0" xfId="0" applyFill="1" applyProtection="1">
      <protection locked="0"/>
    </xf>
    <xf numFmtId="0" fontId="0" fillId="0" borderId="1" xfId="0" applyBorder="1" applyProtection="1">
      <protection locked="0"/>
    </xf>
    <xf numFmtId="14" fontId="0" fillId="0" borderId="0" xfId="0" applyNumberFormat="1" applyProtection="1">
      <protection hidden="1"/>
    </xf>
    <xf numFmtId="167" fontId="1"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5" fontId="2" fillId="0" borderId="8" xfId="0" applyNumberFormat="1" applyFont="1" applyFill="1" applyBorder="1" applyAlignment="1" applyProtection="1">
      <alignment horizontal="center" vertical="center"/>
      <protection locked="0"/>
    </xf>
    <xf numFmtId="165" fontId="2" fillId="0" borderId="9" xfId="0" applyNumberFormat="1" applyFont="1" applyFill="1" applyBorder="1" applyAlignment="1" applyProtection="1">
      <alignment horizontal="center" vertical="center"/>
      <protection locked="0"/>
    </xf>
    <xf numFmtId="166" fontId="2" fillId="0" borderId="10" xfId="0" applyNumberFormat="1"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hidden="1"/>
    </xf>
    <xf numFmtId="0" fontId="12" fillId="8" borderId="0" xfId="0" applyFont="1" applyFill="1" applyAlignment="1" applyProtection="1">
      <alignment vertical="center"/>
      <protection hidden="1"/>
    </xf>
    <xf numFmtId="0" fontId="35" fillId="0" borderId="0" xfId="0" applyFont="1" applyProtection="1">
      <protection hidden="1"/>
    </xf>
    <xf numFmtId="0" fontId="34" fillId="9" borderId="0" xfId="0" applyFont="1" applyFill="1" applyAlignment="1" applyProtection="1">
      <alignment horizontal="center"/>
      <protection hidden="1"/>
    </xf>
    <xf numFmtId="0" fontId="1" fillId="9" borderId="0" xfId="0" applyFont="1" applyFill="1" applyAlignment="1" applyProtection="1">
      <alignment horizontal="center" vertical="center"/>
      <protection hidden="1"/>
    </xf>
    <xf numFmtId="0" fontId="0" fillId="0" borderId="1" xfId="0" applyBorder="1" applyAlignment="1" applyProtection="1">
      <alignment horizontal="center"/>
      <protection locked="0"/>
    </xf>
    <xf numFmtId="0" fontId="2" fillId="0" borderId="2" xfId="0" applyFont="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34" fillId="9" borderId="0" xfId="0" applyFont="1" applyFill="1" applyAlignment="1" applyProtection="1">
      <alignment horizontal="center"/>
      <protection hidden="1"/>
    </xf>
    <xf numFmtId="164" fontId="2" fillId="0"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hidden="1"/>
    </xf>
    <xf numFmtId="0" fontId="1" fillId="9" borderId="0" xfId="0" applyFont="1" applyFill="1" applyAlignment="1" applyProtection="1">
      <alignment horizontal="right" vertical="center"/>
      <protection hidden="1"/>
    </xf>
    <xf numFmtId="0" fontId="39" fillId="9" borderId="0" xfId="0" applyFont="1" applyFill="1" applyAlignment="1" applyProtection="1">
      <alignment horizontal="center" vertical="center" wrapText="1"/>
      <protection hidden="1"/>
    </xf>
    <xf numFmtId="0" fontId="40" fillId="9" borderId="0" xfId="0" applyFont="1" applyFill="1" applyAlignment="1" applyProtection="1">
      <alignment horizontal="right" vertical="center"/>
      <protection hidden="1"/>
    </xf>
    <xf numFmtId="0" fontId="31" fillId="7" borderId="0" xfId="0" applyFont="1" applyFill="1" applyAlignment="1" applyProtection="1">
      <alignment horizontal="center" vertical="center"/>
      <protection hidden="1"/>
    </xf>
    <xf numFmtId="0" fontId="1" fillId="0" borderId="0" xfId="0" applyFont="1" applyFill="1" applyAlignment="1" applyProtection="1">
      <alignment horizontal="center" vertical="center"/>
      <protection locked="0"/>
    </xf>
    <xf numFmtId="1" fontId="45" fillId="0" borderId="1" xfId="0" applyNumberFormat="1" applyFont="1" applyBorder="1" applyAlignment="1" applyProtection="1">
      <alignment horizontal="center" vertical="center"/>
      <protection hidden="1"/>
    </xf>
    <xf numFmtId="1" fontId="26" fillId="0" borderId="1" xfId="0" applyNumberFormat="1" applyFont="1" applyBorder="1" applyAlignment="1" applyProtection="1">
      <alignment horizontal="center" vertical="center"/>
      <protection hidden="1"/>
    </xf>
    <xf numFmtId="0" fontId="41" fillId="17" borderId="0" xfId="0" applyFont="1" applyFill="1" applyAlignment="1" applyProtection="1">
      <alignment vertical="center"/>
      <protection hidden="1"/>
    </xf>
    <xf numFmtId="168"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26" fillId="0" borderId="1" xfId="0" applyFont="1" applyBorder="1" applyAlignment="1" applyProtection="1">
      <alignment horizontal="center" vertical="center"/>
      <protection hidden="1"/>
    </xf>
    <xf numFmtId="0" fontId="42" fillId="17" borderId="0" xfId="0" applyFont="1" applyFill="1" applyBorder="1" applyAlignment="1" applyProtection="1">
      <alignment horizontal="right" vertical="center"/>
      <protection hidden="1"/>
    </xf>
    <xf numFmtId="0" fontId="43" fillId="17" borderId="0" xfId="0" applyFont="1" applyFill="1" applyBorder="1" applyAlignment="1" applyProtection="1">
      <alignment horizontal="left" vertical="center"/>
      <protection hidden="1"/>
    </xf>
    <xf numFmtId="0" fontId="47" fillId="0" borderId="0" xfId="0" applyFont="1" applyProtection="1">
      <protection hidden="1"/>
    </xf>
    <xf numFmtId="0" fontId="50" fillId="17"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1" fontId="34" fillId="0" borderId="1" xfId="0" applyNumberFormat="1" applyFont="1" applyBorder="1" applyAlignment="1" applyProtection="1">
      <alignment horizontal="center" vertical="center"/>
      <protection hidden="1"/>
    </xf>
    <xf numFmtId="1" fontId="37" fillId="0" borderId="1" xfId="0" applyNumberFormat="1" applyFont="1" applyBorder="1" applyAlignment="1" applyProtection="1">
      <alignment horizontal="center" vertical="center"/>
      <protection hidden="1"/>
    </xf>
    <xf numFmtId="1" fontId="36" fillId="0" borderId="1" xfId="0" applyNumberFormat="1" applyFont="1" applyBorder="1" applyAlignment="1" applyProtection="1">
      <alignment horizontal="center" vertical="center"/>
      <protection hidden="1"/>
    </xf>
    <xf numFmtId="0" fontId="31" fillId="0" borderId="1" xfId="0" applyFont="1" applyFill="1" applyBorder="1" applyAlignment="1" applyProtection="1">
      <alignment horizontal="center" vertical="center"/>
      <protection hidden="1"/>
    </xf>
    <xf numFmtId="1" fontId="58" fillId="0" borderId="1" xfId="0" applyNumberFormat="1" applyFont="1" applyBorder="1" applyAlignment="1" applyProtection="1">
      <alignment horizontal="center" vertical="center" textRotation="90"/>
      <protection hidden="1"/>
    </xf>
    <xf numFmtId="0" fontId="63" fillId="0" borderId="0" xfId="0" applyFont="1" applyProtection="1">
      <protection hidden="1"/>
    </xf>
    <xf numFmtId="0" fontId="62" fillId="0" borderId="0" xfId="0" applyFont="1" applyAlignment="1" applyProtection="1">
      <alignment horizontal="right" vertical="center"/>
      <protection hidden="1"/>
    </xf>
    <xf numFmtId="0" fontId="64" fillId="0" borderId="0" xfId="0" applyFont="1" applyProtection="1">
      <protection hidden="1"/>
    </xf>
    <xf numFmtId="0" fontId="65" fillId="17" borderId="0" xfId="0" applyFont="1" applyFill="1" applyBorder="1" applyAlignment="1" applyProtection="1">
      <alignment horizontal="center" vertical="center" shrinkToFit="1"/>
      <protection hidden="1"/>
    </xf>
    <xf numFmtId="0" fontId="62" fillId="0" borderId="0" xfId="0" applyFont="1" applyAlignment="1" applyProtection="1">
      <alignment horizontal="right"/>
      <protection hidden="1"/>
    </xf>
    <xf numFmtId="0" fontId="27"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11" fillId="0" borderId="0" xfId="0" applyFont="1" applyProtection="1">
      <protection hidden="1"/>
    </xf>
    <xf numFmtId="0" fontId="11" fillId="0" borderId="0" xfId="0" applyFont="1" applyAlignment="1" applyProtection="1">
      <alignment horizontal="center"/>
      <protection hidden="1"/>
    </xf>
    <xf numFmtId="14" fontId="47" fillId="0" borderId="0" xfId="0" applyNumberFormat="1" applyFont="1" applyProtection="1">
      <protection hidden="1"/>
    </xf>
    <xf numFmtId="167" fontId="47" fillId="0" borderId="0" xfId="0" applyNumberFormat="1" applyFont="1" applyProtection="1">
      <protection hidden="1"/>
    </xf>
    <xf numFmtId="168" fontId="53" fillId="0" borderId="1" xfId="0" applyNumberFormat="1" applyFont="1" applyBorder="1" applyAlignment="1" applyProtection="1">
      <alignment horizontal="center" vertical="center" wrapText="1"/>
      <protection hidden="1"/>
    </xf>
    <xf numFmtId="168" fontId="47" fillId="0" borderId="0" xfId="0" applyNumberFormat="1" applyFont="1" applyProtection="1">
      <protection hidden="1"/>
    </xf>
    <xf numFmtId="0" fontId="47" fillId="0" borderId="0" xfId="0" applyFont="1" applyBorder="1" applyProtection="1">
      <protection hidden="1"/>
    </xf>
    <xf numFmtId="0" fontId="0" fillId="19" borderId="13" xfId="0" applyFill="1" applyBorder="1" applyProtection="1">
      <protection hidden="1"/>
    </xf>
    <xf numFmtId="0" fontId="0" fillId="19" borderId="14" xfId="0" applyFill="1" applyBorder="1" applyProtection="1">
      <protection hidden="1"/>
    </xf>
    <xf numFmtId="0" fontId="66" fillId="19" borderId="14" xfId="0" applyFont="1" applyFill="1" applyBorder="1" applyProtection="1">
      <protection hidden="1"/>
    </xf>
    <xf numFmtId="0" fontId="66" fillId="19" borderId="15" xfId="0" applyFont="1" applyFill="1" applyBorder="1" applyProtection="1">
      <protection hidden="1"/>
    </xf>
    <xf numFmtId="0" fontId="0" fillId="19" borderId="16" xfId="0" applyFill="1" applyBorder="1" applyProtection="1">
      <protection hidden="1"/>
    </xf>
    <xf numFmtId="0" fontId="0" fillId="19" borderId="0" xfId="0" applyFill="1" applyBorder="1" applyProtection="1">
      <protection hidden="1"/>
    </xf>
    <xf numFmtId="0" fontId="66" fillId="19" borderId="0" xfId="0" applyFont="1" applyFill="1" applyBorder="1" applyProtection="1">
      <protection hidden="1"/>
    </xf>
    <xf numFmtId="0" fontId="66" fillId="19" borderId="17" xfId="0" applyFont="1" applyFill="1" applyBorder="1" applyProtection="1">
      <protection hidden="1"/>
    </xf>
    <xf numFmtId="0" fontId="2" fillId="19" borderId="0" xfId="0" applyFont="1" applyFill="1" applyBorder="1" applyAlignment="1" applyProtection="1">
      <alignment horizontal="center" vertical="center"/>
      <protection hidden="1"/>
    </xf>
    <xf numFmtId="0" fontId="33" fillId="19" borderId="0" xfId="0" applyFont="1" applyFill="1" applyBorder="1" applyAlignment="1" applyProtection="1">
      <alignment horizontal="center" vertical="center"/>
      <protection hidden="1"/>
    </xf>
    <xf numFmtId="165" fontId="66" fillId="19" borderId="0" xfId="0" applyNumberFormat="1" applyFont="1" applyFill="1" applyBorder="1" applyProtection="1">
      <protection hidden="1"/>
    </xf>
    <xf numFmtId="0" fontId="0" fillId="19" borderId="17" xfId="0" applyFill="1" applyBorder="1" applyProtection="1">
      <protection hidden="1"/>
    </xf>
    <xf numFmtId="0" fontId="67" fillId="19" borderId="0" xfId="0" applyFont="1" applyFill="1" applyBorder="1" applyAlignment="1" applyProtection="1">
      <alignment horizontal="center" vertical="center"/>
      <protection hidden="1"/>
    </xf>
    <xf numFmtId="0" fontId="66" fillId="19" borderId="0" xfId="0" applyFont="1" applyFill="1" applyBorder="1" applyAlignment="1" applyProtection="1">
      <alignment horizontal="center" vertical="center"/>
      <protection hidden="1"/>
    </xf>
    <xf numFmtId="0" fontId="0" fillId="19" borderId="18" xfId="0" applyFill="1" applyBorder="1" applyProtection="1">
      <protection hidden="1"/>
    </xf>
    <xf numFmtId="0" fontId="0" fillId="19" borderId="19" xfId="0" applyFont="1" applyFill="1" applyBorder="1" applyProtection="1">
      <protection hidden="1"/>
    </xf>
    <xf numFmtId="0" fontId="0" fillId="19" borderId="19" xfId="0" applyFont="1" applyFill="1" applyBorder="1" applyAlignment="1" applyProtection="1">
      <protection hidden="1"/>
    </xf>
    <xf numFmtId="0" fontId="0" fillId="19" borderId="20" xfId="0" applyFill="1" applyBorder="1" applyProtection="1">
      <protection hidden="1"/>
    </xf>
    <xf numFmtId="0" fontId="1" fillId="9" borderId="0" xfId="0" applyFont="1" applyFill="1" applyProtection="1">
      <protection hidden="1"/>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164" fontId="69" fillId="0" borderId="0" xfId="0" applyNumberFormat="1" applyFont="1" applyFill="1" applyAlignment="1" applyProtection="1">
      <alignment horizontal="center" vertical="center"/>
      <protection locked="0"/>
    </xf>
    <xf numFmtId="0" fontId="69" fillId="0" borderId="0" xfId="0" applyFont="1" applyAlignment="1" applyProtection="1">
      <alignment horizontal="center" vertical="center"/>
      <protection hidden="1"/>
    </xf>
    <xf numFmtId="0" fontId="36" fillId="0" borderId="0" xfId="0" applyFont="1" applyAlignment="1" applyProtection="1">
      <alignment horizontal="center" vertical="center"/>
      <protection hidden="1"/>
    </xf>
    <xf numFmtId="0" fontId="42" fillId="17" borderId="0" xfId="0" applyFont="1" applyFill="1" applyBorder="1" applyAlignment="1" applyProtection="1">
      <alignment horizontal="right" vertical="center"/>
      <protection hidden="1"/>
    </xf>
    <xf numFmtId="0" fontId="2" fillId="0" borderId="0" xfId="0" applyFont="1" applyAlignment="1" applyProtection="1">
      <alignment horizontal="left" vertical="center"/>
      <protection hidden="1"/>
    </xf>
    <xf numFmtId="0" fontId="77" fillId="2" borderId="0" xfId="1" applyFont="1" applyFill="1" applyAlignment="1" applyProtection="1">
      <alignment horizontal="center" vertical="center"/>
      <protection hidden="1"/>
    </xf>
    <xf numFmtId="0" fontId="38" fillId="2" borderId="0" xfId="0" applyFont="1" applyFill="1" applyAlignment="1" applyProtection="1">
      <alignment horizontal="center" vertical="center"/>
      <protection hidden="1"/>
    </xf>
    <xf numFmtId="164" fontId="3" fillId="21" borderId="0" xfId="0" applyNumberFormat="1" applyFont="1" applyFill="1" applyAlignment="1" applyProtection="1">
      <alignment horizontal="center" vertical="center"/>
      <protection hidden="1"/>
    </xf>
    <xf numFmtId="1" fontId="39" fillId="0" borderId="1" xfId="0" applyNumberFormat="1" applyFont="1" applyBorder="1" applyAlignment="1" applyProtection="1">
      <alignment horizontal="center" vertical="center"/>
      <protection hidden="1"/>
    </xf>
    <xf numFmtId="1" fontId="79" fillId="0" borderId="1" xfId="0" applyNumberFormat="1" applyFont="1" applyBorder="1" applyAlignment="1" applyProtection="1">
      <alignment horizontal="center" vertical="center" wrapText="1"/>
      <protection hidden="1"/>
    </xf>
    <xf numFmtId="167" fontId="69" fillId="2" borderId="0" xfId="0" applyNumberFormat="1" applyFont="1" applyFill="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81" fillId="0" borderId="0" xfId="0" applyFont="1" applyProtection="1">
      <protection hidden="1"/>
    </xf>
    <xf numFmtId="0" fontId="81" fillId="0" borderId="0" xfId="0" applyFont="1" applyBorder="1" applyProtection="1">
      <protection hidden="1"/>
    </xf>
    <xf numFmtId="0" fontId="1" fillId="9" borderId="0" xfId="0" applyFont="1" applyFill="1" applyAlignment="1" applyProtection="1">
      <alignment horizontal="right" vertical="center"/>
      <protection hidden="1"/>
    </xf>
    <xf numFmtId="0" fontId="2" fillId="15"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Font="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39" fillId="19" borderId="0" xfId="0" applyFont="1" applyFill="1" applyBorder="1" applyAlignment="1" applyProtection="1">
      <alignment horizontal="right"/>
      <protection hidden="1"/>
    </xf>
    <xf numFmtId="0" fontId="57" fillId="19" borderId="19" xfId="0" applyFont="1" applyFill="1" applyBorder="1" applyAlignment="1" applyProtection="1">
      <alignment horizontal="center" vertical="center"/>
      <protection hidden="1"/>
    </xf>
    <xf numFmtId="0" fontId="1" fillId="19" borderId="19" xfId="0" applyFont="1" applyFill="1" applyBorder="1" applyAlignment="1" applyProtection="1">
      <alignment horizontal="center"/>
      <protection hidden="1"/>
    </xf>
    <xf numFmtId="0" fontId="83" fillId="9" borderId="0" xfId="0" applyFont="1" applyFill="1" applyProtection="1">
      <protection hidden="1"/>
    </xf>
    <xf numFmtId="0" fontId="82" fillId="9" borderId="0" xfId="0" applyFont="1" applyFill="1" applyAlignment="1" applyProtection="1">
      <alignment horizontal="center" vertical="center" wrapText="1"/>
      <protection hidden="1"/>
    </xf>
    <xf numFmtId="0" fontId="0" fillId="19" borderId="0" xfId="0" applyFont="1" applyFill="1" applyBorder="1" applyProtection="1">
      <protection hidden="1"/>
    </xf>
    <xf numFmtId="0" fontId="0" fillId="19" borderId="0" xfId="0" applyFont="1" applyFill="1" applyBorder="1" applyAlignment="1" applyProtection="1">
      <protection hidden="1"/>
    </xf>
    <xf numFmtId="165" fontId="2" fillId="0" borderId="0" xfId="0" applyNumberFormat="1" applyFont="1" applyFill="1" applyBorder="1" applyAlignment="1" applyProtection="1">
      <alignment horizontal="center" vertical="center"/>
      <protection locked="0"/>
    </xf>
    <xf numFmtId="166" fontId="2" fillId="0" borderId="0" xfId="0" applyNumberFormat="1" applyFont="1" applyFill="1" applyBorder="1" applyAlignment="1" applyProtection="1">
      <alignment horizontal="center" vertical="center"/>
      <protection locked="0"/>
    </xf>
    <xf numFmtId="0" fontId="0" fillId="19" borderId="19" xfId="0" applyFill="1" applyBorder="1" applyProtection="1">
      <protection hidden="1"/>
    </xf>
    <xf numFmtId="0" fontId="1" fillId="0" borderId="1" xfId="0" applyFont="1" applyBorder="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2" fillId="0" borderId="0" xfId="0" applyFont="1" applyFill="1" applyAlignment="1" applyProtection="1">
      <alignment horizontal="left" vertical="center"/>
      <protection locked="0"/>
    </xf>
    <xf numFmtId="0" fontId="1" fillId="6" borderId="0" xfId="0" applyFont="1" applyFill="1" applyAlignment="1" applyProtection="1">
      <alignment horizontal="right" vertical="center"/>
      <protection hidden="1"/>
    </xf>
    <xf numFmtId="0" fontId="1" fillId="6" borderId="0" xfId="0"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5" fillId="8" borderId="0" xfId="0" applyFont="1" applyFill="1" applyAlignment="1" applyProtection="1">
      <alignment horizontal="center" vertical="center"/>
      <protection hidden="1"/>
    </xf>
    <xf numFmtId="0" fontId="11" fillId="0" borderId="0" xfId="0" applyFont="1" applyFill="1" applyAlignment="1" applyProtection="1">
      <alignment horizontal="left" vertical="center"/>
      <protection locked="0"/>
    </xf>
    <xf numFmtId="0" fontId="75" fillId="15" borderId="25" xfId="1" applyFont="1" applyFill="1" applyBorder="1" applyAlignment="1" applyProtection="1">
      <alignment horizontal="center" vertical="center"/>
      <protection hidden="1"/>
    </xf>
    <xf numFmtId="0" fontId="75" fillId="15" borderId="0" xfId="1" applyFont="1" applyFill="1" applyBorder="1" applyAlignment="1" applyProtection="1">
      <alignment horizontal="center" vertical="center"/>
      <protection hidden="1"/>
    </xf>
    <xf numFmtId="0" fontId="75" fillId="15" borderId="26" xfId="1" applyFont="1" applyFill="1" applyBorder="1" applyAlignment="1" applyProtection="1">
      <alignment horizontal="center" vertical="center"/>
      <protection hidden="1"/>
    </xf>
    <xf numFmtId="0" fontId="75" fillId="15" borderId="27" xfId="1" applyFont="1" applyFill="1" applyBorder="1" applyAlignment="1" applyProtection="1">
      <alignment horizontal="center" vertical="center"/>
      <protection hidden="1"/>
    </xf>
    <xf numFmtId="0" fontId="75" fillId="15" borderId="28" xfId="1" applyFont="1" applyFill="1" applyBorder="1" applyAlignment="1" applyProtection="1">
      <alignment horizontal="center" vertical="center"/>
      <protection hidden="1"/>
    </xf>
    <xf numFmtId="0" fontId="75" fillId="15" borderId="29" xfId="1" applyFont="1" applyFill="1" applyBorder="1" applyAlignment="1" applyProtection="1">
      <alignment horizontal="center" vertical="center"/>
      <protection hidden="1"/>
    </xf>
    <xf numFmtId="0" fontId="2" fillId="0" borderId="0" xfId="0" applyFont="1" applyFill="1" applyAlignment="1" applyProtection="1">
      <alignment horizontal="center" vertical="center"/>
      <protection locked="0"/>
    </xf>
    <xf numFmtId="0" fontId="69" fillId="20" borderId="30" xfId="0" applyFont="1" applyFill="1" applyBorder="1" applyAlignment="1" applyProtection="1">
      <alignment horizontal="center" vertical="center"/>
    </xf>
    <xf numFmtId="0" fontId="69" fillId="20" borderId="31" xfId="0" applyFont="1" applyFill="1" applyBorder="1" applyAlignment="1" applyProtection="1">
      <alignment horizontal="center" vertical="center"/>
    </xf>
    <xf numFmtId="0" fontId="69" fillId="20" borderId="32" xfId="0" applyFont="1" applyFill="1" applyBorder="1" applyAlignment="1" applyProtection="1">
      <alignment horizontal="center" vertical="center"/>
    </xf>
    <xf numFmtId="0" fontId="70" fillId="15" borderId="25" xfId="0" applyFont="1" applyFill="1" applyBorder="1" applyAlignment="1" applyProtection="1">
      <alignment horizontal="center" vertical="center"/>
      <protection hidden="1"/>
    </xf>
    <xf numFmtId="0" fontId="70" fillId="15" borderId="0" xfId="0" applyFont="1" applyFill="1" applyBorder="1" applyAlignment="1" applyProtection="1">
      <alignment horizontal="center" vertical="center"/>
      <protection hidden="1"/>
    </xf>
    <xf numFmtId="0" fontId="70" fillId="15" borderId="26" xfId="0" applyFont="1" applyFill="1" applyBorder="1" applyAlignment="1" applyProtection="1">
      <alignment horizontal="center" vertical="center"/>
      <protection hidden="1"/>
    </xf>
    <xf numFmtId="0" fontId="71" fillId="15" borderId="25" xfId="0" applyFont="1" applyFill="1" applyBorder="1" applyAlignment="1" applyProtection="1">
      <alignment horizontal="center" vertical="center"/>
      <protection hidden="1"/>
    </xf>
    <xf numFmtId="0" fontId="71" fillId="15" borderId="0" xfId="0" applyFont="1" applyFill="1" applyBorder="1" applyAlignment="1" applyProtection="1">
      <alignment horizontal="center" vertical="center"/>
      <protection hidden="1"/>
    </xf>
    <xf numFmtId="0" fontId="71" fillId="15" borderId="26" xfId="0" applyFont="1" applyFill="1" applyBorder="1" applyAlignment="1" applyProtection="1">
      <alignment horizontal="center" vertical="center"/>
      <protection hidden="1"/>
    </xf>
    <xf numFmtId="0" fontId="72" fillId="15" borderId="25" xfId="0" applyFont="1" applyFill="1" applyBorder="1" applyAlignment="1" applyProtection="1">
      <alignment horizontal="center" vertical="center"/>
      <protection hidden="1"/>
    </xf>
    <xf numFmtId="0" fontId="72" fillId="15" borderId="0" xfId="0" applyFont="1" applyFill="1" applyBorder="1" applyAlignment="1" applyProtection="1">
      <alignment horizontal="center" vertical="center"/>
      <protection hidden="1"/>
    </xf>
    <xf numFmtId="0" fontId="72" fillId="15" borderId="26" xfId="0" applyFont="1" applyFill="1" applyBorder="1" applyAlignment="1" applyProtection="1">
      <alignment horizontal="center" vertical="center"/>
      <protection hidden="1"/>
    </xf>
    <xf numFmtId="0" fontId="73" fillId="15" borderId="25" xfId="0" applyFont="1" applyFill="1" applyBorder="1" applyAlignment="1" applyProtection="1">
      <alignment horizontal="center" vertical="center"/>
      <protection hidden="1"/>
    </xf>
    <xf numFmtId="0" fontId="73" fillId="15" borderId="0" xfId="0" applyFont="1" applyFill="1" applyBorder="1" applyAlignment="1" applyProtection="1">
      <alignment horizontal="center" vertical="center"/>
      <protection hidden="1"/>
    </xf>
    <xf numFmtId="0" fontId="73" fillId="15" borderId="26" xfId="0" applyFont="1" applyFill="1" applyBorder="1" applyAlignment="1" applyProtection="1">
      <alignment horizontal="center" vertical="center"/>
      <protection hidden="1"/>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22" borderId="5" xfId="0" applyFont="1" applyFill="1" applyBorder="1" applyAlignment="1" applyProtection="1">
      <alignment horizontal="left" vertical="center"/>
      <protection locked="0"/>
    </xf>
    <xf numFmtId="0" fontId="2" fillId="22" borderId="6" xfId="0" applyFont="1" applyFill="1" applyBorder="1" applyAlignment="1" applyProtection="1">
      <alignment horizontal="left" vertical="center"/>
      <protection locked="0"/>
    </xf>
    <xf numFmtId="0" fontId="2" fillId="22" borderId="7" xfId="0" applyFont="1" applyFill="1" applyBorder="1" applyAlignment="1" applyProtection="1">
      <alignment horizontal="left" vertical="center"/>
      <protection locked="0"/>
    </xf>
    <xf numFmtId="0" fontId="39" fillId="9" borderId="0" xfId="0" applyFont="1" applyFill="1" applyAlignment="1" applyProtection="1">
      <alignment horizontal="center" vertical="center" wrapText="1"/>
      <protection hidden="1"/>
    </xf>
    <xf numFmtId="0" fontId="34" fillId="9" borderId="0" xfId="0" applyFont="1" applyFill="1" applyAlignment="1" applyProtection="1">
      <alignment horizontal="center"/>
      <protection hidden="1"/>
    </xf>
    <xf numFmtId="0" fontId="15" fillId="9" borderId="0" xfId="0" applyFont="1" applyFill="1" applyAlignment="1" applyProtection="1">
      <alignment horizontal="center" vertical="center"/>
      <protection hidden="1"/>
    </xf>
    <xf numFmtId="0" fontId="2" fillId="9" borderId="0" xfId="0" applyFont="1" applyFill="1" applyAlignment="1" applyProtection="1">
      <alignment horizontal="left" vertical="center"/>
      <protection hidden="1"/>
    </xf>
    <xf numFmtId="0" fontId="1" fillId="9" borderId="0" xfId="0" applyFont="1" applyFill="1" applyAlignment="1" applyProtection="1">
      <alignment horizontal="right" vertical="center"/>
      <protection hidden="1"/>
    </xf>
    <xf numFmtId="0" fontId="1" fillId="9" borderId="21" xfId="0" applyFont="1" applyFill="1" applyBorder="1" applyAlignment="1" applyProtection="1">
      <alignment horizontal="right" vertical="center"/>
      <protection hidden="1"/>
    </xf>
    <xf numFmtId="0" fontId="1" fillId="9" borderId="0" xfId="0" applyFont="1" applyFill="1" applyAlignment="1" applyProtection="1">
      <alignment horizontal="left" vertical="center"/>
      <protection hidden="1"/>
    </xf>
    <xf numFmtId="0" fontId="80" fillId="9" borderId="0" xfId="0" applyFont="1" applyFill="1" applyBorder="1" applyAlignment="1" applyProtection="1">
      <alignment horizontal="center" vertical="center" wrapText="1"/>
      <protection hidden="1"/>
    </xf>
    <xf numFmtId="0" fontId="80" fillId="9" borderId="0" xfId="0" applyFont="1" applyFill="1" applyBorder="1" applyAlignment="1" applyProtection="1">
      <alignment horizontal="center" vertical="center"/>
      <protection hidden="1"/>
    </xf>
    <xf numFmtId="0" fontId="0" fillId="14" borderId="0" xfId="0" applyFill="1" applyAlignment="1" applyProtection="1">
      <alignment horizontal="center"/>
      <protection hidden="1"/>
    </xf>
    <xf numFmtId="0" fontId="0" fillId="13" borderId="0" xfId="0" applyFill="1" applyAlignment="1" applyProtection="1">
      <alignment horizontal="center"/>
      <protection hidden="1"/>
    </xf>
    <xf numFmtId="0" fontId="0" fillId="13" borderId="11" xfId="0" applyFill="1" applyBorder="1" applyAlignment="1" applyProtection="1">
      <alignment horizontal="center"/>
      <protection hidden="1"/>
    </xf>
    <xf numFmtId="0" fontId="16" fillId="12" borderId="0" xfId="0" applyFont="1" applyFill="1" applyAlignment="1" applyProtection="1">
      <alignment horizontal="center"/>
      <protection hidden="1"/>
    </xf>
    <xf numFmtId="0" fontId="3" fillId="15" borderId="1" xfId="0" applyFont="1" applyFill="1" applyBorder="1" applyAlignment="1" applyProtection="1">
      <alignment horizontal="center"/>
      <protection hidden="1"/>
    </xf>
    <xf numFmtId="0" fontId="2" fillId="15" borderId="1" xfId="0" applyFont="1" applyFill="1" applyBorder="1" applyAlignment="1" applyProtection="1">
      <alignment horizontal="center" vertical="center"/>
      <protection hidden="1"/>
    </xf>
    <xf numFmtId="0" fontId="32" fillId="12" borderId="0" xfId="0" applyFont="1" applyFill="1" applyAlignment="1" applyProtection="1">
      <alignment horizontal="center"/>
      <protection hidden="1"/>
    </xf>
    <xf numFmtId="0" fontId="27" fillId="0" borderId="0" xfId="0" applyFont="1" applyBorder="1" applyAlignment="1" applyProtection="1">
      <alignment horizontal="center" vertical="center"/>
      <protection hidden="1"/>
    </xf>
    <xf numFmtId="0" fontId="0" fillId="0" borderId="0" xfId="0" quotePrefix="1" applyBorder="1" applyAlignment="1" applyProtection="1">
      <alignment horizontal="center"/>
      <protection locked="0"/>
    </xf>
    <xf numFmtId="0" fontId="0" fillId="0" borderId="17" xfId="0" applyBorder="1" applyAlignment="1" applyProtection="1">
      <alignment horizontal="center"/>
      <protection locked="0"/>
    </xf>
    <xf numFmtId="0" fontId="0" fillId="0" borderId="16" xfId="0" quotePrefix="1" applyBorder="1" applyAlignment="1" applyProtection="1">
      <alignment horizontal="center"/>
      <protection hidden="1"/>
    </xf>
    <xf numFmtId="0" fontId="0" fillId="0" borderId="0"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0" xfId="0" applyFont="1" applyBorder="1" applyAlignment="1" applyProtection="1">
      <alignment horizontal="center" vertical="center"/>
      <protection hidden="1"/>
    </xf>
    <xf numFmtId="0" fontId="0" fillId="0" borderId="17" xfId="0" applyFont="1" applyBorder="1" applyAlignment="1" applyProtection="1">
      <alignment horizontal="center" vertical="center"/>
      <protection hidden="1"/>
    </xf>
    <xf numFmtId="0" fontId="29" fillId="0" borderId="0" xfId="0" applyFont="1" applyBorder="1" applyAlignment="1" applyProtection="1">
      <alignment horizontal="center"/>
      <protection hidden="1"/>
    </xf>
    <xf numFmtId="0" fontId="27" fillId="0" borderId="16" xfId="0" applyFont="1" applyBorder="1" applyAlignment="1" applyProtection="1">
      <alignment horizontal="center" vertical="center"/>
      <protection hidden="1"/>
    </xf>
    <xf numFmtId="0" fontId="27" fillId="0" borderId="17" xfId="0" applyFont="1" applyBorder="1" applyAlignment="1" applyProtection="1">
      <alignment horizontal="center" vertical="center"/>
      <protection hidden="1"/>
    </xf>
    <xf numFmtId="0" fontId="27" fillId="0" borderId="16" xfId="0" applyFont="1" applyBorder="1" applyAlignment="1" applyProtection="1">
      <alignment horizontal="left" vertical="center"/>
      <protection hidden="1"/>
    </xf>
    <xf numFmtId="0" fontId="27" fillId="0" borderId="0" xfId="0" applyFont="1" applyBorder="1" applyAlignment="1" applyProtection="1">
      <alignment horizontal="left" vertical="center"/>
      <protection hidden="1"/>
    </xf>
    <xf numFmtId="0" fontId="27" fillId="0" borderId="17" xfId="0" applyFont="1" applyBorder="1" applyAlignment="1" applyProtection="1">
      <alignment horizontal="left" vertical="center"/>
      <protection hidden="1"/>
    </xf>
    <xf numFmtId="0" fontId="27" fillId="0" borderId="0" xfId="0" applyFont="1" applyBorder="1" applyAlignment="1" applyProtection="1">
      <alignment horizontal="right" vertical="top"/>
      <protection hidden="1"/>
    </xf>
    <xf numFmtId="0" fontId="27" fillId="0" borderId="0" xfId="0" applyFont="1" applyBorder="1" applyAlignment="1" applyProtection="1">
      <alignment horizontal="right" vertical="center"/>
      <protection hidden="1"/>
    </xf>
    <xf numFmtId="0" fontId="31" fillId="0" borderId="0" xfId="0" applyFont="1" applyBorder="1" applyAlignment="1" applyProtection="1">
      <alignment horizontal="left" vertical="center" wrapText="1"/>
      <protection hidden="1"/>
    </xf>
    <xf numFmtId="0" fontId="31" fillId="0" borderId="17" xfId="0" applyFont="1" applyBorder="1" applyAlignment="1" applyProtection="1">
      <alignment horizontal="left" vertical="center" wrapText="1"/>
      <protection hidden="1"/>
    </xf>
    <xf numFmtId="0" fontId="2" fillId="0" borderId="0"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0" fillId="0" borderId="0" xfId="0" applyFont="1" applyBorder="1" applyAlignment="1" applyProtection="1">
      <alignment horizontal="center" vertical="center"/>
      <protection hidden="1"/>
    </xf>
    <xf numFmtId="0" fontId="28" fillId="0" borderId="0" xfId="0" applyFont="1" applyBorder="1" applyAlignment="1" applyProtection="1">
      <alignment horizontal="center"/>
      <protection hidden="1"/>
    </xf>
    <xf numFmtId="0" fontId="27" fillId="0" borderId="17" xfId="0" applyFont="1" applyBorder="1" applyAlignment="1" applyProtection="1">
      <alignment horizontal="right" vertical="center"/>
      <protection hidden="1"/>
    </xf>
    <xf numFmtId="0" fontId="30" fillId="0" borderId="0" xfId="0" applyFont="1" applyBorder="1" applyAlignment="1" applyProtection="1">
      <alignment horizontal="left" vertical="center"/>
      <protection hidden="1"/>
    </xf>
    <xf numFmtId="0" fontId="30" fillId="0" borderId="17" xfId="0" applyFont="1" applyBorder="1" applyAlignment="1" applyProtection="1">
      <alignment horizontal="left" vertical="center"/>
      <protection hidden="1"/>
    </xf>
    <xf numFmtId="0" fontId="2" fillId="0" borderId="0" xfId="0" applyFont="1" applyBorder="1" applyAlignment="1" applyProtection="1">
      <alignment horizontal="center" vertical="center"/>
      <protection hidden="1"/>
    </xf>
    <xf numFmtId="167" fontId="25" fillId="16" borderId="0"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0" fillId="16" borderId="0" xfId="0" applyFill="1"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0" fontId="0" fillId="0" borderId="0" xfId="0" applyFont="1" applyAlignment="1" applyProtection="1">
      <alignment horizontal="center" vertical="center"/>
      <protection hidden="1"/>
    </xf>
    <xf numFmtId="0" fontId="20" fillId="0" borderId="0" xfId="0" applyFont="1" applyAlignment="1" applyProtection="1">
      <alignment horizontal="center"/>
      <protection hidden="1"/>
    </xf>
    <xf numFmtId="0" fontId="19" fillId="0" borderId="0" xfId="0" applyFont="1" applyAlignment="1" applyProtection="1">
      <alignment horizontal="center" vertical="center"/>
      <protection hidden="1"/>
    </xf>
    <xf numFmtId="0" fontId="0" fillId="16" borderId="0" xfId="0" applyFill="1" applyAlignment="1" applyProtection="1">
      <alignment horizontal="center"/>
      <protection locked="0"/>
    </xf>
    <xf numFmtId="0" fontId="1" fillId="0" borderId="2"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0" xfId="0" applyAlignment="1" applyProtection="1">
      <alignment horizontal="center"/>
      <protection hidden="1"/>
    </xf>
    <xf numFmtId="0" fontId="21" fillId="0" borderId="0" xfId="0" applyFont="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23" fillId="16" borderId="0" xfId="0" applyFont="1" applyFill="1" applyAlignment="1" applyProtection="1">
      <alignment horizontal="left" vertical="center"/>
      <protection locked="0"/>
    </xf>
    <xf numFmtId="167" fontId="25" fillId="16" borderId="0" xfId="0" applyNumberFormat="1" applyFont="1" applyFill="1" applyAlignment="1" applyProtection="1">
      <alignment horizontal="center" vertical="center"/>
      <protection locked="0"/>
    </xf>
    <xf numFmtId="0" fontId="1" fillId="0" borderId="0" xfId="0"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0" fontId="24" fillId="0" borderId="0" xfId="0" applyFont="1" applyAlignment="1" applyProtection="1">
      <alignment horizont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justify" vertical="justify"/>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16" borderId="0" xfId="0" applyFill="1" applyAlignment="1" applyProtection="1">
      <alignment horizontal="left" vertical="center"/>
      <protection locked="0"/>
    </xf>
    <xf numFmtId="0" fontId="68" fillId="19" borderId="0" xfId="0" applyFont="1" applyFill="1" applyBorder="1" applyAlignment="1" applyProtection="1">
      <alignment horizontal="left" vertical="center"/>
      <protection hidden="1"/>
    </xf>
    <xf numFmtId="0" fontId="57" fillId="19" borderId="0" xfId="0" applyFont="1" applyFill="1" applyBorder="1" applyAlignment="1" applyProtection="1">
      <alignment horizontal="center" vertical="center"/>
      <protection hidden="1"/>
    </xf>
    <xf numFmtId="0" fontId="1" fillId="19" borderId="0" xfId="0" applyFont="1" applyFill="1" applyBorder="1" applyAlignment="1" applyProtection="1">
      <alignment horizontal="center"/>
      <protection hidden="1"/>
    </xf>
    <xf numFmtId="0" fontId="38" fillId="19" borderId="0" xfId="0" applyFont="1" applyFill="1" applyBorder="1" applyAlignment="1" applyProtection="1">
      <alignment horizontal="center" vertical="center"/>
      <protection hidden="1"/>
    </xf>
    <xf numFmtId="0" fontId="76" fillId="19" borderId="0" xfId="1" applyFont="1" applyFill="1" applyBorder="1" applyAlignment="1" applyProtection="1">
      <alignment horizontal="center" vertical="center"/>
      <protection hidden="1"/>
    </xf>
    <xf numFmtId="0" fontId="3" fillId="19" borderId="0" xfId="0" applyFont="1" applyFill="1" applyBorder="1" applyAlignment="1" applyProtection="1">
      <alignment horizontal="center" vertical="center"/>
      <protection hidden="1"/>
    </xf>
    <xf numFmtId="0" fontId="34" fillId="19" borderId="0" xfId="0" applyFont="1" applyFill="1" applyBorder="1" applyAlignment="1" applyProtection="1">
      <alignment horizontal="right"/>
      <protection hidden="1"/>
    </xf>
    <xf numFmtId="0" fontId="85" fillId="19" borderId="0" xfId="0" applyFont="1" applyFill="1" applyBorder="1" applyAlignment="1" applyProtection="1">
      <alignment horizontal="center" vertical="center"/>
      <protection hidden="1"/>
    </xf>
    <xf numFmtId="0" fontId="44" fillId="17" borderId="0" xfId="0" applyFont="1" applyFill="1" applyBorder="1" applyAlignment="1" applyProtection="1">
      <alignment horizontal="center" vertical="center"/>
      <protection hidden="1"/>
    </xf>
    <xf numFmtId="0" fontId="42" fillId="17" borderId="0" xfId="0" applyFont="1" applyFill="1" applyBorder="1" applyAlignment="1" applyProtection="1">
      <alignment horizontal="right" vertical="center"/>
      <protection hidden="1"/>
    </xf>
    <xf numFmtId="0" fontId="48" fillId="19" borderId="0" xfId="0" applyFont="1" applyFill="1" applyBorder="1" applyAlignment="1" applyProtection="1">
      <alignment horizontal="right"/>
      <protection hidden="1"/>
    </xf>
    <xf numFmtId="0" fontId="11" fillId="0" borderId="0" xfId="0" applyNumberFormat="1" applyFont="1" applyBorder="1" applyAlignment="1" applyProtection="1">
      <alignment horizontal="center" vertical="center" wrapText="1"/>
      <protection locked="0"/>
    </xf>
    <xf numFmtId="169" fontId="52" fillId="17" borderId="0" xfId="0" applyNumberFormat="1" applyFont="1" applyFill="1" applyAlignment="1" applyProtection="1">
      <alignment horizontal="left" vertical="center"/>
      <protection hidden="1"/>
    </xf>
    <xf numFmtId="0" fontId="50" fillId="17" borderId="0" xfId="0" applyFont="1" applyFill="1" applyAlignment="1" applyProtection="1">
      <alignment horizontal="right" vertical="center"/>
      <protection hidden="1"/>
    </xf>
    <xf numFmtId="169" fontId="52" fillId="17" borderId="0" xfId="0" applyNumberFormat="1" applyFont="1" applyFill="1" applyAlignment="1" applyProtection="1">
      <alignment horizontal="center" vertical="center"/>
      <protection hidden="1"/>
    </xf>
    <xf numFmtId="0" fontId="36" fillId="12" borderId="0" xfId="0" applyFont="1" applyFill="1" applyBorder="1" applyAlignment="1" applyProtection="1">
      <alignment horizontal="left" vertical="center" wrapText="1"/>
      <protection locked="0"/>
    </xf>
    <xf numFmtId="0" fontId="45" fillId="19" borderId="19" xfId="0" applyFont="1" applyFill="1" applyBorder="1" applyAlignment="1" applyProtection="1">
      <alignment horizontal="left" vertical="center"/>
      <protection hidden="1"/>
    </xf>
    <xf numFmtId="0" fontId="34" fillId="19" borderId="0" xfId="0" applyFont="1" applyFill="1" applyBorder="1" applyAlignment="1" applyProtection="1">
      <alignment horizontal="right" vertical="center"/>
      <protection hidden="1"/>
    </xf>
    <xf numFmtId="0" fontId="1" fillId="0" borderId="22"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hidden="1"/>
    </xf>
    <xf numFmtId="0" fontId="1" fillId="0" borderId="24" xfId="0" applyFont="1" applyFill="1" applyBorder="1" applyAlignment="1" applyProtection="1">
      <alignment horizontal="center" vertical="center" wrapText="1"/>
      <protection hidden="1"/>
    </xf>
    <xf numFmtId="0" fontId="31" fillId="18" borderId="1" xfId="0" applyFont="1" applyFill="1" applyBorder="1" applyAlignment="1" applyProtection="1">
      <alignment horizontal="center" vertical="center"/>
      <protection hidden="1"/>
    </xf>
    <xf numFmtId="0" fontId="46" fillId="19" borderId="0" xfId="0" applyFont="1" applyFill="1" applyBorder="1" applyAlignment="1" applyProtection="1">
      <alignment horizontal="center" vertical="center"/>
      <protection hidden="1"/>
    </xf>
    <xf numFmtId="0" fontId="39" fillId="19" borderId="0" xfId="0" applyFont="1" applyFill="1" applyBorder="1" applyAlignment="1" applyProtection="1">
      <alignment horizontal="right"/>
      <protection hidden="1"/>
    </xf>
    <xf numFmtId="168" fontId="2" fillId="0" borderId="0" xfId="0" applyNumberFormat="1" applyFont="1" applyBorder="1" applyAlignment="1" applyProtection="1">
      <alignment horizontal="center" vertical="center" wrapText="1"/>
      <protection locked="0"/>
    </xf>
    <xf numFmtId="0" fontId="37" fillId="19" borderId="0" xfId="0" applyFont="1" applyFill="1" applyBorder="1" applyAlignment="1" applyProtection="1">
      <alignment horizontal="right"/>
      <protection hidden="1"/>
    </xf>
    <xf numFmtId="0" fontId="59" fillId="17" borderId="0" xfId="0" applyFont="1" applyFill="1" applyBorder="1" applyAlignment="1" applyProtection="1">
      <alignment horizontal="center" vertical="center"/>
      <protection hidden="1"/>
    </xf>
    <xf numFmtId="0" fontId="31" fillId="0" borderId="2" xfId="0" applyFont="1" applyFill="1" applyBorder="1" applyAlignment="1" applyProtection="1">
      <alignment horizontal="center" vertical="center"/>
      <protection hidden="1"/>
    </xf>
    <xf numFmtId="0" fontId="31" fillId="0" borderId="3" xfId="0" applyFont="1" applyFill="1" applyBorder="1" applyAlignment="1" applyProtection="1">
      <alignment horizontal="center" vertical="center"/>
      <protection hidden="1"/>
    </xf>
    <xf numFmtId="0" fontId="31" fillId="0" borderId="12" xfId="0" applyFont="1" applyFill="1" applyBorder="1" applyAlignment="1" applyProtection="1">
      <alignment horizontal="center" vertical="center"/>
      <protection hidden="1"/>
    </xf>
    <xf numFmtId="0" fontId="25" fillId="17"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2" fillId="0" borderId="12" xfId="0" applyFont="1" applyFill="1" applyBorder="1" applyAlignment="1" applyProtection="1">
      <alignment horizontal="center" vertical="center"/>
      <protection hidden="1"/>
    </xf>
    <xf numFmtId="0" fontId="51" fillId="17" borderId="0" xfId="0" applyFont="1" applyFill="1" applyAlignment="1" applyProtection="1">
      <alignment horizontal="center" vertical="center"/>
      <protection hidden="1"/>
    </xf>
    <xf numFmtId="0" fontId="59" fillId="17" borderId="0" xfId="0" applyFont="1" applyFill="1" applyBorder="1" applyAlignment="1" applyProtection="1">
      <alignment horizontal="left" vertical="center"/>
      <protection hidden="1"/>
    </xf>
    <xf numFmtId="0" fontId="31" fillId="0" borderId="22" xfId="0" applyFont="1" applyFill="1" applyBorder="1" applyAlignment="1" applyProtection="1">
      <alignment horizontal="center" vertical="center" wrapText="1"/>
      <protection hidden="1"/>
    </xf>
    <xf numFmtId="0" fontId="31" fillId="0" borderId="23" xfId="0" applyFont="1" applyFill="1" applyBorder="1" applyAlignment="1" applyProtection="1">
      <alignment horizontal="center" vertical="center" wrapText="1"/>
      <protection hidden="1"/>
    </xf>
    <xf numFmtId="0" fontId="31" fillId="0" borderId="24" xfId="0" applyFont="1" applyFill="1" applyBorder="1" applyAlignment="1" applyProtection="1">
      <alignment horizontal="center" vertical="center" wrapText="1"/>
      <protection hidden="1"/>
    </xf>
    <xf numFmtId="0" fontId="31" fillId="0" borderId="22" xfId="0" applyFont="1" applyFill="1" applyBorder="1" applyAlignment="1" applyProtection="1">
      <alignment horizontal="center" vertical="center"/>
      <protection hidden="1"/>
    </xf>
    <xf numFmtId="0" fontId="31" fillId="0" borderId="24"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wrapText="1"/>
      <protection hidden="1"/>
    </xf>
    <xf numFmtId="0" fontId="2" fillId="0" borderId="23" xfId="0" applyFont="1" applyFill="1" applyBorder="1" applyAlignment="1" applyProtection="1">
      <alignment horizontal="center" vertical="center" wrapText="1"/>
      <protection hidden="1"/>
    </xf>
    <xf numFmtId="0" fontId="2" fillId="0" borderId="24" xfId="0" applyFont="1" applyFill="1" applyBorder="1" applyAlignment="1" applyProtection="1">
      <alignment horizontal="center" vertical="center" wrapText="1"/>
      <protection hidden="1"/>
    </xf>
    <xf numFmtId="0" fontId="54" fillId="0" borderId="22" xfId="0" applyFont="1" applyFill="1" applyBorder="1" applyAlignment="1" applyProtection="1">
      <alignment horizontal="center" vertical="center" wrapText="1"/>
      <protection hidden="1"/>
    </xf>
    <xf numFmtId="0" fontId="54" fillId="0" borderId="23" xfId="0" applyFont="1" applyFill="1" applyBorder="1" applyAlignment="1" applyProtection="1">
      <alignment horizontal="center" vertical="center" wrapText="1"/>
      <protection hidden="1"/>
    </xf>
    <xf numFmtId="0" fontId="54" fillId="0" borderId="24" xfId="0" applyFont="1" applyFill="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55" fillId="0" borderId="0" xfId="0" applyFont="1" applyAlignment="1" applyProtection="1">
      <alignment horizontal="left" vertical="center"/>
      <protection hidden="1"/>
    </xf>
    <xf numFmtId="0" fontId="61" fillId="0" borderId="0" xfId="0" applyFont="1" applyAlignment="1" applyProtection="1">
      <alignment horizontal="center"/>
      <protection hidden="1"/>
    </xf>
    <xf numFmtId="0" fontId="61" fillId="0" borderId="0" xfId="0" applyFont="1" applyAlignment="1" applyProtection="1">
      <alignment horizontal="center" wrapText="1"/>
      <protection hidden="1"/>
    </xf>
    <xf numFmtId="0" fontId="0" fillId="0" borderId="0" xfId="0" applyAlignment="1" applyProtection="1">
      <alignment horizontal="center"/>
      <protection locked="0"/>
    </xf>
    <xf numFmtId="0" fontId="60" fillId="0" borderId="0" xfId="0" applyFont="1" applyAlignment="1" applyProtection="1">
      <alignment horizontal="right" vertical="center"/>
      <protection hidden="1"/>
    </xf>
    <xf numFmtId="0" fontId="1" fillId="0" borderId="1" xfId="0" applyFont="1" applyBorder="1" applyAlignment="1" applyProtection="1">
      <alignment horizontal="center" vertical="center"/>
      <protection hidden="1"/>
    </xf>
    <xf numFmtId="0" fontId="0" fillId="0" borderId="12" xfId="0" applyBorder="1" applyAlignment="1">
      <alignment horizontal="center" vertical="center"/>
    </xf>
    <xf numFmtId="0" fontId="2" fillId="0" borderId="1" xfId="0" applyFont="1" applyBorder="1" applyAlignment="1" applyProtection="1">
      <alignment horizontal="center" vertical="center"/>
      <protection hidden="1"/>
    </xf>
    <xf numFmtId="0" fontId="36" fillId="0" borderId="1" xfId="0" applyFont="1" applyBorder="1" applyAlignment="1" applyProtection="1">
      <alignment horizontal="center" vertical="center"/>
      <protection hidden="1"/>
    </xf>
    <xf numFmtId="0" fontId="38" fillId="0" borderId="1" xfId="0" applyFont="1" applyBorder="1" applyAlignment="1" applyProtection="1">
      <alignment horizontal="center" vertical="center"/>
      <protection hidden="1"/>
    </xf>
    <xf numFmtId="0" fontId="56" fillId="0" borderId="1" xfId="0" applyFont="1" applyBorder="1" applyAlignment="1" applyProtection="1">
      <alignment horizontal="center" vertical="center"/>
      <protection hidden="1"/>
    </xf>
    <xf numFmtId="0" fontId="27"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62" fillId="12" borderId="0" xfId="0" applyFont="1" applyFill="1" applyAlignment="1" applyProtection="1">
      <alignment horizontal="center"/>
      <protection locked="0"/>
    </xf>
    <xf numFmtId="167" fontId="0" fillId="0" borderId="0" xfId="0" applyNumberFormat="1" applyAlignment="1" applyProtection="1">
      <alignment horizontal="center"/>
      <protection locked="0"/>
    </xf>
    <xf numFmtId="0" fontId="2" fillId="0" borderId="0" xfId="0" applyFont="1" applyAlignment="1" applyProtection="1">
      <alignment horizontal="left" vertical="top"/>
      <protection hidden="1"/>
    </xf>
    <xf numFmtId="0" fontId="29" fillId="0" borderId="0" xfId="0" applyFont="1" applyAlignment="1" applyProtection="1">
      <alignment horizontal="left" vertical="center"/>
      <protection hidden="1"/>
    </xf>
    <xf numFmtId="0" fontId="78" fillId="17" borderId="0" xfId="0" applyFont="1" applyFill="1" applyAlignment="1" applyProtection="1">
      <alignment horizontal="center" vertical="center"/>
      <protection hidden="1"/>
    </xf>
    <xf numFmtId="0" fontId="80" fillId="17" borderId="0" xfId="0" applyFont="1" applyFill="1" applyBorder="1" applyAlignment="1" applyProtection="1">
      <alignment horizontal="left" vertical="center"/>
      <protection hidden="1"/>
    </xf>
    <xf numFmtId="0" fontId="80" fillId="17" borderId="0" xfId="0" applyFont="1" applyFill="1" applyBorder="1" applyAlignment="1" applyProtection="1">
      <alignment horizontal="center" vertical="center"/>
      <protection hidden="1"/>
    </xf>
    <xf numFmtId="0" fontId="37" fillId="0" borderId="0" xfId="0" applyFont="1" applyFill="1" applyBorder="1" applyAlignment="1" applyProtection="1">
      <alignment horizontal="left" vertical="top" wrapText="1"/>
      <protection locked="0"/>
    </xf>
    <xf numFmtId="14" fontId="81" fillId="0" borderId="0" xfId="0" applyNumberFormat="1" applyFont="1" applyProtection="1">
      <protection hidden="1"/>
    </xf>
  </cellXfs>
  <cellStyles count="2">
    <cellStyle name="Hyperlink" xfId="1" builtinId="8"/>
    <cellStyle name="Normal" xfId="0" builtinId="0"/>
  </cellStyles>
  <dxfs count="11">
    <dxf>
      <font>
        <b/>
        <i val="0"/>
        <color rgb="FF0000CC"/>
      </font>
      <fill>
        <patternFill>
          <bgColor rgb="FF00B050"/>
        </patternFill>
      </fill>
    </dxf>
    <dxf>
      <font>
        <b/>
        <i val="0"/>
        <color rgb="FF0000CC"/>
      </font>
      <fill>
        <patternFill>
          <bgColor rgb="FF00B050"/>
        </patternFill>
      </fill>
    </dxf>
    <dxf>
      <font>
        <color rgb="FFCCFF99"/>
      </font>
      <fill>
        <patternFill>
          <bgColor rgb="FFCCFF99"/>
        </patternFill>
      </fill>
      <border>
        <left/>
        <right/>
        <top/>
        <bottom/>
      </border>
    </dxf>
    <dxf>
      <font>
        <color rgb="FFCCFF99"/>
      </font>
      <fill>
        <patternFill>
          <bgColor rgb="FFCCFF99"/>
        </patternFill>
      </fill>
      <border>
        <left/>
        <right/>
        <top/>
        <bottom/>
      </border>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s>
  <tableStyles count="0" defaultTableStyle="TableStyleMedium9" defaultPivotStyle="PivotStyleLight16"/>
  <colors>
    <mruColors>
      <color rgb="FF0000CC"/>
      <color rgb="FFCCFF99"/>
      <color rgb="FFCC00CC"/>
      <color rgb="FF00FF00"/>
      <color rgb="FF99FF33"/>
      <color rgb="FF66FF66"/>
      <color rgb="FF66FF33"/>
      <color rgb="FF33CC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Pay Chart'!A1"/></Relationships>
</file>

<file path=xl/drawings/_rels/drawing3.xml.rels><?xml version="1.0" encoding="UTF-8" standalone="yes"?>
<Relationships xmlns="http://schemas.openxmlformats.org/package/2006/relationships"><Relationship Id="rId1" Type="http://schemas.openxmlformats.org/officeDocument/2006/relationships/hyperlink" Target="#'DATA ENTRY'!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37</xdr:row>
      <xdr:rowOff>123825</xdr:rowOff>
    </xdr:from>
    <xdr:to>
      <xdr:col>2</xdr:col>
      <xdr:colOff>2266950</xdr:colOff>
      <xdr:row>42</xdr:row>
      <xdr:rowOff>152400</xdr:rowOff>
    </xdr:to>
    <xdr:pic>
      <xdr:nvPicPr>
        <xdr:cNvPr id="4" name="Picture 3" descr="WhatsApp Image 2021-09-09 at 5.56.17 AM.jpeg"/>
        <xdr:cNvPicPr>
          <a:picLocks noChangeAspect="1"/>
        </xdr:cNvPicPr>
      </xdr:nvPicPr>
      <xdr:blipFill>
        <a:blip xmlns:r="http://schemas.openxmlformats.org/officeDocument/2006/relationships" r:embed="rId1" cstate="print"/>
        <a:stretch>
          <a:fillRect/>
        </a:stretch>
      </xdr:blipFill>
      <xdr:spPr>
        <a:xfrm>
          <a:off x="1514475" y="8343900"/>
          <a:ext cx="1304925" cy="1409700"/>
        </a:xfrm>
        <a:prstGeom prst="rect">
          <a:avLst/>
        </a:prstGeom>
        <a:ln>
          <a:noFill/>
        </a:ln>
        <a:effectLst>
          <a:softEdge rad="112500"/>
        </a:effectLst>
      </xdr:spPr>
    </xdr:pic>
    <xdr:clientData/>
  </xdr:twoCellAnchor>
  <xdr:twoCellAnchor editAs="oneCell">
    <xdr:from>
      <xdr:col>13</xdr:col>
      <xdr:colOff>790575</xdr:colOff>
      <xdr:row>37</xdr:row>
      <xdr:rowOff>57150</xdr:rowOff>
    </xdr:from>
    <xdr:to>
      <xdr:col>15</xdr:col>
      <xdr:colOff>771525</xdr:colOff>
      <xdr:row>42</xdr:row>
      <xdr:rowOff>219075</xdr:rowOff>
    </xdr:to>
    <xdr:pic>
      <xdr:nvPicPr>
        <xdr:cNvPr id="5" name="Picture 4" descr="hlj 21-11-21.png"/>
        <xdr:cNvPicPr>
          <a:picLocks noChangeAspect="1"/>
        </xdr:cNvPicPr>
      </xdr:nvPicPr>
      <xdr:blipFill>
        <a:blip xmlns:r="http://schemas.openxmlformats.org/officeDocument/2006/relationships" r:embed="rId2"/>
        <a:stretch>
          <a:fillRect/>
        </a:stretch>
      </xdr:blipFill>
      <xdr:spPr>
        <a:xfrm>
          <a:off x="9982200" y="8277225"/>
          <a:ext cx="1447800" cy="154305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2590801</xdr:colOff>
      <xdr:row>31</xdr:row>
      <xdr:rowOff>180975</xdr:rowOff>
    </xdr:from>
    <xdr:to>
      <xdr:col>7</xdr:col>
      <xdr:colOff>409575</xdr:colOff>
      <xdr:row>33</xdr:row>
      <xdr:rowOff>152400</xdr:rowOff>
    </xdr:to>
    <xdr:sp macro="" textlink="">
      <xdr:nvSpPr>
        <xdr:cNvPr id="2" name="Rounded Rectangle 1">
          <a:hlinkClick xmlns:r="http://schemas.openxmlformats.org/officeDocument/2006/relationships" r:id="rId1"/>
        </xdr:cNvPr>
        <xdr:cNvSpPr/>
      </xdr:nvSpPr>
      <xdr:spPr>
        <a:xfrm>
          <a:off x="2867026" y="7448550"/>
          <a:ext cx="5057774" cy="4857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300" b="1" u="dbl">
              <a:solidFill>
                <a:srgbClr val="0000CC"/>
              </a:solidFill>
            </a:rPr>
            <a:t>वेतन 7th पे मेट्रिक्स चार्ट में चेक करने के लिए यहाँ क्लिक करें I </a:t>
          </a:r>
          <a:endParaRPr lang="en-US" sz="1300" b="1" u="dbl">
            <a:solidFill>
              <a:srgbClr val="0000CC"/>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352425</xdr:colOff>
      <xdr:row>1</xdr:row>
      <xdr:rowOff>85725</xdr:rowOff>
    </xdr:from>
    <xdr:to>
      <xdr:col>1</xdr:col>
      <xdr:colOff>1114425</xdr:colOff>
      <xdr:row>3</xdr:row>
      <xdr:rowOff>0</xdr:rowOff>
    </xdr:to>
    <xdr:sp macro="" textlink="">
      <xdr:nvSpPr>
        <xdr:cNvPr id="2" name="Left Arrow 1">
          <a:hlinkClick xmlns:r="http://schemas.openxmlformats.org/officeDocument/2006/relationships" r:id="rId1"/>
        </xdr:cNvPr>
        <xdr:cNvSpPr/>
      </xdr:nvSpPr>
      <xdr:spPr>
        <a:xfrm>
          <a:off x="619125" y="276225"/>
          <a:ext cx="762000" cy="419100"/>
        </a:xfrm>
        <a:prstGeom prst="leftArrow">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400" b="1">
              <a:solidFill>
                <a:srgbClr val="FF0000"/>
              </a:solidFill>
            </a:rPr>
            <a:t>Back</a:t>
          </a:r>
          <a:endParaRPr 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266700</xdr:colOff>
      <xdr:row>0</xdr:row>
      <xdr:rowOff>95251</xdr:rowOff>
    </xdr:from>
    <xdr:to>
      <xdr:col>26</xdr:col>
      <xdr:colOff>295275</xdr:colOff>
      <xdr:row>7</xdr:row>
      <xdr:rowOff>57151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2353925" y="95251"/>
          <a:ext cx="1343025" cy="127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CTO9jlCJH9U" TargetMode="External"/><Relationship Id="rId1" Type="http://schemas.openxmlformats.org/officeDocument/2006/relationships/hyperlink" Target="mailto:heeralaljatchandawal@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youtu.be/CTO9jlCJH9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CC00CC"/>
  </sheetPr>
  <dimension ref="A1:AO50"/>
  <sheetViews>
    <sheetView showGridLines="0" showRowColHeaders="0" tabSelected="1" workbookViewId="0">
      <selection activeCell="D11" sqref="D11:I11"/>
    </sheetView>
  </sheetViews>
  <sheetFormatPr defaultColWidth="0" defaultRowHeight="15" zeroHeight="1"/>
  <cols>
    <col min="1" max="1" width="3.625" style="5" customWidth="1"/>
    <col min="2" max="2" width="4.5" style="5" customWidth="1"/>
    <col min="3" max="3" width="43.25" style="17" customWidth="1"/>
    <col min="4" max="4" width="3.625" style="17" customWidth="1"/>
    <col min="5" max="5" width="7.5" style="5" customWidth="1"/>
    <col min="6" max="6" width="3.625" style="5" customWidth="1"/>
    <col min="7" max="7" width="7.25" style="5" customWidth="1"/>
    <col min="8" max="8" width="3.625" style="5" customWidth="1"/>
    <col min="9" max="9" width="11.75" style="5" customWidth="1"/>
    <col min="10" max="10" width="3.625" style="5" customWidth="1"/>
    <col min="11" max="11" width="12.75" style="5" customWidth="1"/>
    <col min="12" max="12" width="3.625" style="5" customWidth="1"/>
    <col min="13" max="13" width="12.75" style="17" customWidth="1"/>
    <col min="14" max="14" width="15.625" style="5" customWidth="1"/>
    <col min="15" max="15" width="3.625" style="5" customWidth="1"/>
    <col min="16" max="16" width="12.25" style="18" customWidth="1"/>
    <col min="17" max="17" width="10" style="18" customWidth="1"/>
    <col min="18" max="18" width="6.5" style="5" customWidth="1"/>
    <col min="19" max="19" width="3.625" style="5" customWidth="1"/>
    <col min="20" max="20" width="9" style="5" customWidth="1"/>
    <col min="21" max="21" width="9" style="5" hidden="1" customWidth="1"/>
    <col min="22" max="41" width="0" style="5" hidden="1" customWidth="1"/>
    <col min="42" max="16384" width="9" style="5" hidden="1"/>
  </cols>
  <sheetData>
    <row r="1" spans="1:23">
      <c r="A1" s="1"/>
      <c r="B1" s="2"/>
      <c r="C1" s="3"/>
      <c r="D1" s="3"/>
      <c r="E1" s="2"/>
      <c r="F1" s="2"/>
      <c r="G1" s="2"/>
      <c r="H1" s="2"/>
      <c r="I1" s="2"/>
      <c r="J1" s="2"/>
      <c r="K1" s="2"/>
      <c r="L1" s="2"/>
      <c r="M1" s="3"/>
      <c r="N1" s="2"/>
      <c r="O1" s="2"/>
      <c r="P1" s="4"/>
      <c r="Q1" s="4"/>
      <c r="R1" s="2"/>
      <c r="S1" s="1"/>
    </row>
    <row r="2" spans="1:23" ht="12" customHeight="1">
      <c r="A2" s="6"/>
      <c r="B2" s="1"/>
      <c r="C2" s="1"/>
      <c r="D2" s="1"/>
      <c r="E2" s="1"/>
      <c r="F2" s="1"/>
      <c r="G2" s="1"/>
      <c r="H2" s="1"/>
      <c r="I2" s="1"/>
      <c r="J2" s="1"/>
      <c r="K2" s="1"/>
      <c r="L2" s="1"/>
      <c r="M2" s="1"/>
      <c r="N2" s="1"/>
      <c r="O2" s="1"/>
      <c r="P2" s="1"/>
      <c r="Q2" s="1"/>
      <c r="R2" s="1"/>
      <c r="S2" s="6"/>
    </row>
    <row r="3" spans="1:23" ht="27.75" customHeight="1">
      <c r="A3" s="6"/>
      <c r="B3" s="7"/>
      <c r="C3" s="7"/>
      <c r="D3" s="7"/>
      <c r="E3" s="195" t="s">
        <v>8</v>
      </c>
      <c r="F3" s="195"/>
      <c r="G3" s="195"/>
      <c r="H3" s="195"/>
      <c r="I3" s="195"/>
      <c r="J3" s="195"/>
      <c r="K3" s="195"/>
      <c r="L3" s="195"/>
      <c r="M3" s="195"/>
      <c r="N3" s="21"/>
      <c r="O3" s="1"/>
      <c r="P3" s="8"/>
      <c r="Q3" s="8"/>
      <c r="R3" s="1"/>
      <c r="S3" s="6"/>
    </row>
    <row r="4" spans="1:23" ht="12" customHeight="1">
      <c r="A4" s="6"/>
      <c r="B4" s="7"/>
      <c r="C4" s="7"/>
      <c r="D4" s="7"/>
      <c r="E4" s="1"/>
      <c r="F4" s="1"/>
      <c r="G4" s="1"/>
      <c r="H4" s="1"/>
      <c r="I4" s="1"/>
      <c r="J4" s="1"/>
      <c r="K4" s="1"/>
      <c r="L4" s="1"/>
      <c r="M4" s="7"/>
      <c r="N4" s="1"/>
      <c r="O4" s="1"/>
      <c r="P4" s="8"/>
      <c r="Q4" s="8"/>
      <c r="R4" s="1"/>
      <c r="S4" s="6"/>
    </row>
    <row r="5" spans="1:23" ht="21.95" customHeight="1">
      <c r="A5" s="6"/>
      <c r="B5" s="7"/>
      <c r="C5" s="9" t="s">
        <v>68</v>
      </c>
      <c r="D5" s="197" t="s">
        <v>70</v>
      </c>
      <c r="E5" s="197"/>
      <c r="F5" s="197"/>
      <c r="G5" s="197"/>
      <c r="H5" s="197"/>
      <c r="I5" s="197"/>
      <c r="J5" s="197"/>
      <c r="K5" s="197"/>
      <c r="L5" s="197"/>
      <c r="M5" s="197"/>
      <c r="N5" s="197"/>
      <c r="O5" s="197"/>
      <c r="P5" s="197"/>
      <c r="Q5" s="197"/>
      <c r="R5" s="10"/>
      <c r="S5" s="6"/>
    </row>
    <row r="6" spans="1:23" ht="6.95" customHeight="1">
      <c r="A6" s="6"/>
      <c r="B6" s="7"/>
      <c r="C6" s="11"/>
      <c r="D6" s="7"/>
      <c r="E6" s="1"/>
      <c r="F6" s="1"/>
      <c r="G6" s="1"/>
      <c r="H6" s="1"/>
      <c r="I6" s="1"/>
      <c r="J6" s="1"/>
      <c r="K6" s="1"/>
      <c r="L6" s="1"/>
      <c r="M6" s="11"/>
      <c r="N6" s="1"/>
      <c r="O6" s="1"/>
      <c r="P6" s="8"/>
      <c r="Q6" s="8"/>
      <c r="R6" s="1"/>
      <c r="S6" s="6"/>
    </row>
    <row r="7" spans="1:23" ht="21.95" customHeight="1">
      <c r="A7" s="6"/>
      <c r="B7" s="7"/>
      <c r="C7" s="9" t="s">
        <v>69</v>
      </c>
      <c r="D7" s="197" t="s">
        <v>71</v>
      </c>
      <c r="E7" s="197"/>
      <c r="F7" s="197"/>
      <c r="G7" s="197"/>
      <c r="H7" s="197"/>
      <c r="I7" s="197"/>
      <c r="J7" s="197"/>
      <c r="K7" s="197"/>
      <c r="L7" s="197"/>
      <c r="M7" s="197"/>
      <c r="N7" s="197"/>
      <c r="O7" s="197"/>
      <c r="P7" s="197"/>
      <c r="Q7" s="197"/>
      <c r="R7" s="10"/>
      <c r="S7" s="6"/>
    </row>
    <row r="8" spans="1:23" ht="9.9499999999999993" customHeight="1">
      <c r="A8" s="6"/>
      <c r="B8" s="7"/>
      <c r="C8" s="11"/>
      <c r="D8" s="7"/>
      <c r="E8" s="1"/>
      <c r="F8" s="1"/>
      <c r="G8" s="1"/>
      <c r="H8" s="1"/>
      <c r="I8" s="1"/>
      <c r="J8" s="1"/>
      <c r="K8" s="1"/>
      <c r="L8" s="1"/>
      <c r="M8" s="11"/>
      <c r="N8" s="1"/>
      <c r="O8" s="1"/>
      <c r="P8" s="8"/>
      <c r="Q8" s="8"/>
      <c r="R8" s="1"/>
      <c r="S8" s="6"/>
    </row>
    <row r="9" spans="1:23" ht="21.95" customHeight="1">
      <c r="A9" s="6"/>
      <c r="B9" s="7"/>
      <c r="C9" s="9" t="s">
        <v>146</v>
      </c>
      <c r="D9" s="192" t="s">
        <v>149</v>
      </c>
      <c r="E9" s="192"/>
      <c r="F9" s="192"/>
      <c r="G9" s="192"/>
      <c r="H9" s="192"/>
      <c r="I9" s="192"/>
      <c r="J9" s="1"/>
      <c r="K9" s="193" t="s">
        <v>147</v>
      </c>
      <c r="L9" s="193"/>
      <c r="M9" s="193"/>
      <c r="N9" s="106" t="s">
        <v>94</v>
      </c>
      <c r="O9" s="1"/>
      <c r="P9" s="105" t="s">
        <v>148</v>
      </c>
      <c r="Q9" s="26">
        <v>11111</v>
      </c>
      <c r="R9" s="1"/>
      <c r="S9" s="6"/>
    </row>
    <row r="10" spans="1:23" ht="9.9499999999999993" customHeight="1">
      <c r="A10" s="6"/>
      <c r="B10" s="7"/>
      <c r="C10" s="11"/>
      <c r="D10" s="7"/>
      <c r="E10" s="1"/>
      <c r="F10" s="1"/>
      <c r="G10" s="1"/>
      <c r="H10" s="1"/>
      <c r="I10" s="1"/>
      <c r="J10" s="1"/>
      <c r="K10" s="1"/>
      <c r="L10" s="1"/>
      <c r="M10" s="11"/>
      <c r="N10" s="1"/>
      <c r="O10" s="1"/>
      <c r="P10" s="8"/>
      <c r="Q10" s="8"/>
      <c r="R10" s="1"/>
      <c r="S10" s="6"/>
    </row>
    <row r="11" spans="1:23" ht="21.95" customHeight="1">
      <c r="A11" s="6"/>
      <c r="B11" s="7"/>
      <c r="C11" s="9" t="s">
        <v>0</v>
      </c>
      <c r="D11" s="192" t="s">
        <v>23</v>
      </c>
      <c r="E11" s="192"/>
      <c r="F11" s="192"/>
      <c r="G11" s="192"/>
      <c r="H11" s="192"/>
      <c r="I11" s="192"/>
      <c r="J11" s="1"/>
      <c r="K11" s="193" t="s">
        <v>9</v>
      </c>
      <c r="L11" s="193"/>
      <c r="M11" s="193"/>
      <c r="N11" s="29" t="s">
        <v>24</v>
      </c>
      <c r="O11" s="1"/>
      <c r="P11" s="13" t="s">
        <v>7</v>
      </c>
      <c r="Q11" s="22">
        <v>11</v>
      </c>
      <c r="R11" s="1"/>
      <c r="S11" s="6"/>
    </row>
    <row r="12" spans="1:23" ht="15.75">
      <c r="A12" s="6"/>
      <c r="B12" s="7"/>
      <c r="C12" s="11"/>
      <c r="D12" s="7"/>
      <c r="E12" s="27" t="s">
        <v>18</v>
      </c>
      <c r="F12" s="27"/>
      <c r="G12" s="27" t="s">
        <v>19</v>
      </c>
      <c r="H12" s="27"/>
      <c r="I12" s="27" t="s">
        <v>20</v>
      </c>
      <c r="J12" s="1"/>
      <c r="K12" s="1"/>
      <c r="L12" s="1"/>
      <c r="M12" s="11"/>
      <c r="N12" s="30"/>
      <c r="O12" s="1"/>
      <c r="P12" s="8"/>
      <c r="Q12" s="8"/>
      <c r="R12" s="1"/>
      <c r="S12" s="6"/>
    </row>
    <row r="13" spans="1:23" ht="21.95" customHeight="1">
      <c r="A13" s="6"/>
      <c r="B13" s="7"/>
      <c r="C13" s="9" t="s">
        <v>1</v>
      </c>
      <c r="D13" s="7"/>
      <c r="E13" s="25">
        <v>1</v>
      </c>
      <c r="F13" s="1"/>
      <c r="G13" s="25">
        <v>1</v>
      </c>
      <c r="H13" s="1"/>
      <c r="I13" s="26">
        <v>2006</v>
      </c>
      <c r="J13" s="1"/>
      <c r="K13" s="193" t="s">
        <v>10</v>
      </c>
      <c r="L13" s="193"/>
      <c r="M13" s="193"/>
      <c r="N13" s="29" t="s">
        <v>25</v>
      </c>
      <c r="O13" s="1"/>
      <c r="P13" s="13" t="s">
        <v>7</v>
      </c>
      <c r="Q13" s="159">
        <v>10</v>
      </c>
      <c r="R13" s="1"/>
      <c r="S13" s="6"/>
    </row>
    <row r="14" spans="1:23" ht="15.75">
      <c r="A14" s="6"/>
      <c r="B14" s="7"/>
      <c r="C14" s="11"/>
      <c r="D14" s="7"/>
      <c r="E14" s="27" t="s">
        <v>18</v>
      </c>
      <c r="F14" s="27"/>
      <c r="G14" s="27" t="s">
        <v>19</v>
      </c>
      <c r="H14" s="27"/>
      <c r="I14" s="27" t="s">
        <v>20</v>
      </c>
      <c r="J14" s="1"/>
      <c r="K14" s="32"/>
      <c r="L14" s="32"/>
      <c r="M14" s="11"/>
      <c r="N14" s="30"/>
      <c r="O14" s="1"/>
      <c r="P14" s="8"/>
      <c r="Q14" s="8"/>
      <c r="R14" s="1"/>
      <c r="S14" s="6"/>
    </row>
    <row r="15" spans="1:23" ht="21.95" customHeight="1">
      <c r="A15" s="6"/>
      <c r="B15" s="7"/>
      <c r="C15" s="9" t="s">
        <v>2</v>
      </c>
      <c r="D15" s="7"/>
      <c r="E15" s="25">
        <v>1</v>
      </c>
      <c r="F15" s="1"/>
      <c r="G15" s="25">
        <v>1</v>
      </c>
      <c r="H15" s="1"/>
      <c r="I15" s="26">
        <v>2015</v>
      </c>
      <c r="J15" s="1"/>
      <c r="K15" s="193" t="s">
        <v>11</v>
      </c>
      <c r="L15" s="193"/>
      <c r="M15" s="193"/>
      <c r="N15" s="157" t="s">
        <v>28</v>
      </c>
      <c r="O15" s="19">
        <f>COUNTA(E15,G15,I15,N15,Q15)</f>
        <v>5</v>
      </c>
      <c r="P15" s="13" t="s">
        <v>7</v>
      </c>
      <c r="Q15" s="22">
        <v>11</v>
      </c>
      <c r="R15" s="23" t="str">
        <f>IF(O15&gt;4,"þ","ý")</f>
        <v>þ</v>
      </c>
      <c r="S15" s="6"/>
      <c r="V15" s="5">
        <f>IF(Q13=10,11,IF(Q13=11,12,IF(Q13=12,13,IF(Q13=14,15,IF(Q13=8,10,IF(Q13=5,8,IF(Q13=1,2,"")))))))</f>
        <v>11</v>
      </c>
      <c r="W15" s="5">
        <f>IF(Q13=10,11,IF(Q13=11,12,IF(Q13=12,14,IF(Q13=14,16,IF(Q13=8,10,IF(Q13=5,8,IF(Q13=1,2,"")))))))</f>
        <v>11</v>
      </c>
    </row>
    <row r="16" spans="1:23" ht="15.75">
      <c r="A16" s="6"/>
      <c r="B16" s="7"/>
      <c r="C16" s="11"/>
      <c r="D16" s="7"/>
      <c r="E16" s="27" t="s">
        <v>18</v>
      </c>
      <c r="F16" s="27"/>
      <c r="G16" s="27" t="s">
        <v>19</v>
      </c>
      <c r="H16" s="27"/>
      <c r="I16" s="27" t="s">
        <v>20</v>
      </c>
      <c r="J16" s="1"/>
      <c r="K16" s="32"/>
      <c r="L16" s="32"/>
      <c r="M16" s="11"/>
      <c r="N16" s="30"/>
      <c r="O16" s="1"/>
      <c r="P16" s="14"/>
      <c r="Q16" s="14"/>
      <c r="R16" s="24"/>
      <c r="S16" s="6"/>
      <c r="V16" s="5">
        <f>IF(V15=11,12,IF(V15=12,13,IF(V15=13,15,IF(V15=15,16,IF(V15=10,11,IF(V15=8,10,IF(V15=2,3,"")))))))</f>
        <v>12</v>
      </c>
      <c r="W16" s="5">
        <f>IF(W15=11,12,IF(W15=12,14,IF(W15=14,16,IF(W15=16,17,IF(W15=10,11,IF(W15=8,10,IF(W15=2,3,"")))))))</f>
        <v>12</v>
      </c>
    </row>
    <row r="17" spans="1:41" ht="21.95" customHeight="1">
      <c r="A17" s="6"/>
      <c r="B17" s="7"/>
      <c r="C17" s="9" t="s">
        <v>3</v>
      </c>
      <c r="D17" s="7"/>
      <c r="E17" s="25">
        <v>1</v>
      </c>
      <c r="F17" s="1"/>
      <c r="G17" s="25">
        <v>1</v>
      </c>
      <c r="H17" s="1"/>
      <c r="I17" s="26">
        <v>2024</v>
      </c>
      <c r="J17" s="1"/>
      <c r="K17" s="193" t="s">
        <v>12</v>
      </c>
      <c r="L17" s="193"/>
      <c r="M17" s="193"/>
      <c r="N17" s="157" t="s">
        <v>28</v>
      </c>
      <c r="O17" s="19">
        <f>COUNTA(E17,G17,I17,N17,Q17)</f>
        <v>5</v>
      </c>
      <c r="P17" s="13" t="s">
        <v>7</v>
      </c>
      <c r="Q17" s="22">
        <v>12</v>
      </c>
      <c r="R17" s="23" t="str">
        <f>IF(O17&gt;4,"þ","ý")</f>
        <v>þ</v>
      </c>
      <c r="S17" s="6"/>
      <c r="V17" s="5">
        <f>IF(V16=12,13,IF(V16=13,15,IF(V16=15,16,IF(V16=16,17,IF(V16=11,12,IF(V16=10,11,IF(V16=3,4,"")))))))</f>
        <v>13</v>
      </c>
      <c r="W17" s="5">
        <f>IF(W16=12,14,IF(AND(W16=14,Q13=11),16,IF(W16=14,15,IF(W16=16,17,IF(W16=17,18,IF(W16=11,12,IF(W16=10,11,IF(W16=3,4,""))))))))</f>
        <v>14</v>
      </c>
    </row>
    <row r="18" spans="1:41" ht="15.75">
      <c r="A18" s="6"/>
      <c r="B18" s="7"/>
      <c r="C18" s="11"/>
      <c r="D18" s="7"/>
      <c r="E18" s="27" t="s">
        <v>18</v>
      </c>
      <c r="F18" s="27"/>
      <c r="G18" s="27" t="s">
        <v>19</v>
      </c>
      <c r="H18" s="27"/>
      <c r="I18" s="27" t="s">
        <v>20</v>
      </c>
      <c r="J18" s="1"/>
      <c r="K18" s="32"/>
      <c r="L18" s="32"/>
      <c r="M18" s="11"/>
      <c r="N18" s="30"/>
      <c r="O18" s="1"/>
      <c r="P18" s="14"/>
      <c r="Q18" s="14"/>
      <c r="R18" s="24"/>
      <c r="S18" s="6"/>
    </row>
    <row r="19" spans="1:41" ht="21.95" customHeight="1">
      <c r="A19" s="6"/>
      <c r="B19" s="7"/>
      <c r="C19" s="9" t="s">
        <v>4</v>
      </c>
      <c r="D19" s="7"/>
      <c r="E19" s="25">
        <v>1</v>
      </c>
      <c r="F19" s="1"/>
      <c r="G19" s="25">
        <v>1</v>
      </c>
      <c r="H19" s="1"/>
      <c r="I19" s="26">
        <v>2033</v>
      </c>
      <c r="J19" s="1"/>
      <c r="K19" s="193" t="s">
        <v>13</v>
      </c>
      <c r="L19" s="193"/>
      <c r="M19" s="193"/>
      <c r="N19" s="33"/>
      <c r="O19" s="19">
        <f>COUNTA(E19,G19,I19,N19,Q19)</f>
        <v>4</v>
      </c>
      <c r="P19" s="13" t="s">
        <v>7</v>
      </c>
      <c r="Q19" s="22">
        <v>13</v>
      </c>
      <c r="R19" s="23" t="str">
        <f>IF(O19&gt;4,"þ","ý")</f>
        <v>ý</v>
      </c>
      <c r="S19" s="6"/>
    </row>
    <row r="20" spans="1:41">
      <c r="A20" s="6"/>
      <c r="B20" s="7"/>
      <c r="C20" s="11"/>
      <c r="D20" s="7"/>
      <c r="E20" s="1"/>
      <c r="F20" s="1"/>
      <c r="G20" s="1"/>
      <c r="H20" s="1"/>
      <c r="I20" s="1"/>
      <c r="J20" s="1"/>
      <c r="K20" s="1"/>
      <c r="L20" s="1"/>
      <c r="M20" s="11"/>
      <c r="N20" s="1"/>
      <c r="O20" s="1"/>
      <c r="P20" s="8"/>
      <c r="Q20" s="8"/>
      <c r="R20" s="1"/>
      <c r="S20" s="6"/>
    </row>
    <row r="21" spans="1:41" ht="21.95" customHeight="1">
      <c r="A21" s="6"/>
      <c r="B21" s="7"/>
      <c r="C21" s="9" t="s">
        <v>17</v>
      </c>
      <c r="D21" s="204" t="s">
        <v>16</v>
      </c>
      <c r="E21" s="204"/>
      <c r="F21" s="1"/>
      <c r="G21" s="1"/>
      <c r="H21" s="1"/>
      <c r="I21" s="1"/>
      <c r="J21" s="1"/>
      <c r="K21" s="194" t="s">
        <v>27</v>
      </c>
      <c r="L21" s="194"/>
      <c r="M21" s="194"/>
      <c r="N21" s="194"/>
      <c r="O21" s="194"/>
      <c r="P21" s="194"/>
      <c r="Q21" s="158" t="s">
        <v>16</v>
      </c>
      <c r="R21" s="1"/>
      <c r="S21" s="6"/>
    </row>
    <row r="22" spans="1:41">
      <c r="A22" s="6"/>
      <c r="B22" s="7"/>
      <c r="C22" s="11"/>
      <c r="D22" s="7"/>
      <c r="E22" s="1"/>
      <c r="F22" s="1"/>
      <c r="G22" s="1"/>
      <c r="H22" s="1"/>
      <c r="I22" s="1"/>
      <c r="J22" s="1"/>
      <c r="K22" s="1"/>
      <c r="L22" s="1"/>
      <c r="M22" s="11"/>
      <c r="N22" s="1"/>
      <c r="O22" s="1"/>
      <c r="P22" s="8"/>
      <c r="Q22" s="8"/>
      <c r="R22" s="1"/>
      <c r="S22" s="6"/>
    </row>
    <row r="23" spans="1:41" ht="21.95" customHeight="1">
      <c r="A23" s="6"/>
      <c r="B23" s="7"/>
      <c r="C23" s="9" t="s">
        <v>5</v>
      </c>
      <c r="D23" s="192" t="s">
        <v>24</v>
      </c>
      <c r="E23" s="192"/>
      <c r="F23" s="192"/>
      <c r="G23" s="192"/>
      <c r="H23" s="192"/>
      <c r="I23" s="192"/>
      <c r="J23" s="20">
        <f>COUNTA(D23,N23)</f>
        <v>2</v>
      </c>
      <c r="K23" s="193" t="s">
        <v>6</v>
      </c>
      <c r="L23" s="193"/>
      <c r="M23" s="193"/>
      <c r="N23" s="28">
        <v>11</v>
      </c>
      <c r="O23" s="23" t="str">
        <f>IF(J23&gt;1,"þ","ý")</f>
        <v>þ</v>
      </c>
      <c r="P23" s="8"/>
      <c r="Q23" s="8"/>
      <c r="R23" s="1"/>
      <c r="S23" s="6"/>
      <c r="AN23" s="5" t="s">
        <v>124</v>
      </c>
    </row>
    <row r="24" spans="1:41" ht="12" customHeight="1">
      <c r="A24" s="6"/>
      <c r="B24" s="7"/>
      <c r="C24" s="1"/>
      <c r="D24" s="1"/>
      <c r="E24" s="1"/>
      <c r="F24" s="1"/>
      <c r="G24" s="1"/>
      <c r="H24" s="1"/>
      <c r="I24" s="1"/>
      <c r="J24" s="1"/>
      <c r="K24" s="1"/>
      <c r="L24" s="1"/>
      <c r="M24" s="1"/>
      <c r="N24" s="1"/>
      <c r="O24" s="1"/>
      <c r="P24" s="8"/>
      <c r="Q24" s="8"/>
      <c r="R24" s="1"/>
      <c r="S24" s="6"/>
      <c r="AN24" s="5" t="s">
        <v>21</v>
      </c>
      <c r="AO24" s="5" t="s">
        <v>22</v>
      </c>
    </row>
    <row r="25" spans="1:41" ht="21.95" customHeight="1">
      <c r="A25" s="6"/>
      <c r="B25" s="7"/>
      <c r="C25" s="9" t="s">
        <v>26</v>
      </c>
      <c r="D25" s="192"/>
      <c r="E25" s="192"/>
      <c r="F25" s="192"/>
      <c r="G25" s="192"/>
      <c r="H25" s="192"/>
      <c r="I25" s="192"/>
      <c r="J25" s="20">
        <f>COUNTA(D25,N25)</f>
        <v>0</v>
      </c>
      <c r="K25" s="20"/>
      <c r="L25" s="20"/>
      <c r="M25" s="12" t="s">
        <v>6</v>
      </c>
      <c r="N25" s="28"/>
      <c r="O25" s="23" t="str">
        <f>IF(J25&gt;1,"þ","ý")</f>
        <v>ý</v>
      </c>
      <c r="P25" s="8"/>
      <c r="Q25" s="8"/>
      <c r="R25" s="1"/>
      <c r="S25" s="6"/>
    </row>
    <row r="26" spans="1:41" ht="12" customHeight="1">
      <c r="A26" s="6"/>
      <c r="B26" s="7"/>
      <c r="C26" s="1"/>
      <c r="D26" s="1"/>
      <c r="E26" s="1"/>
      <c r="F26" s="1"/>
      <c r="G26" s="1"/>
      <c r="H26" s="1"/>
      <c r="I26" s="1"/>
      <c r="J26" s="1"/>
      <c r="K26" s="1"/>
      <c r="L26" s="1"/>
      <c r="M26" s="1"/>
      <c r="N26" s="1"/>
      <c r="O26" s="1"/>
      <c r="P26" s="8"/>
      <c r="Q26" s="8"/>
      <c r="R26" s="1"/>
      <c r="S26" s="6"/>
    </row>
    <row r="27" spans="1:41" ht="21.95" customHeight="1">
      <c r="A27" s="6"/>
      <c r="B27" s="7"/>
      <c r="C27" s="9" t="s">
        <v>26</v>
      </c>
      <c r="D27" s="192"/>
      <c r="E27" s="192"/>
      <c r="F27" s="192"/>
      <c r="G27" s="192"/>
      <c r="H27" s="192"/>
      <c r="I27" s="192"/>
      <c r="J27" s="20">
        <f>COUNTA(D27,N27)</f>
        <v>0</v>
      </c>
      <c r="K27" s="20"/>
      <c r="L27" s="20"/>
      <c r="M27" s="12" t="s">
        <v>6</v>
      </c>
      <c r="N27" s="28"/>
      <c r="O27" s="23" t="str">
        <f>IF(J27&gt;1,"þ","ý")</f>
        <v>ý</v>
      </c>
      <c r="P27" s="8"/>
      <c r="Q27" s="8"/>
      <c r="R27" s="1"/>
      <c r="S27" s="6"/>
    </row>
    <row r="28" spans="1:41">
      <c r="A28" s="6"/>
      <c r="B28" s="7"/>
      <c r="C28" s="7"/>
      <c r="D28" s="7"/>
      <c r="E28" s="1"/>
      <c r="F28" s="1"/>
      <c r="G28" s="1"/>
      <c r="H28" s="1"/>
      <c r="I28" s="1"/>
      <c r="J28" s="1"/>
      <c r="K28" s="20"/>
      <c r="L28" s="1"/>
      <c r="M28" s="11"/>
      <c r="N28" s="1"/>
      <c r="O28" s="1"/>
      <c r="P28" s="8"/>
      <c r="Q28" s="8"/>
      <c r="R28" s="1"/>
      <c r="S28" s="6"/>
    </row>
    <row r="29" spans="1:41" ht="21.95" customHeight="1">
      <c r="A29" s="6"/>
      <c r="B29" s="7"/>
      <c r="C29" s="15" t="s">
        <v>214</v>
      </c>
      <c r="D29" s="7"/>
      <c r="E29" s="7"/>
      <c r="F29" s="31"/>
      <c r="G29" s="196" t="s">
        <v>14</v>
      </c>
      <c r="H29" s="196"/>
      <c r="I29" s="196"/>
      <c r="J29" s="196"/>
      <c r="K29" s="20"/>
      <c r="L29" s="1"/>
      <c r="M29" s="196" t="s">
        <v>15</v>
      </c>
      <c r="N29" s="196"/>
      <c r="O29" s="92"/>
      <c r="P29" s="8"/>
      <c r="Q29" s="8"/>
      <c r="R29" s="1"/>
      <c r="S29" s="6"/>
    </row>
    <row r="30" spans="1:41" ht="12.75" customHeight="1">
      <c r="A30" s="6"/>
      <c r="B30" s="7"/>
      <c r="C30" s="169">
        <v>45549</v>
      </c>
      <c r="D30" s="7"/>
      <c r="E30" s="15"/>
      <c r="F30" s="15"/>
      <c r="G30" s="15"/>
      <c r="H30" s="15"/>
      <c r="I30" s="15"/>
      <c r="J30" s="1"/>
      <c r="K30" s="20"/>
      <c r="L30" s="1"/>
      <c r="M30" s="15"/>
      <c r="N30" s="15"/>
      <c r="O30" s="1"/>
      <c r="P30" s="8"/>
      <c r="Q30" s="8"/>
      <c r="R30" s="1"/>
      <c r="S30" s="6"/>
    </row>
    <row r="31" spans="1:41" ht="21.95" customHeight="1">
      <c r="A31" s="6"/>
      <c r="B31" s="7"/>
      <c r="C31" s="165" t="s">
        <v>202</v>
      </c>
      <c r="D31" s="7"/>
      <c r="E31" s="191" t="s">
        <v>7</v>
      </c>
      <c r="F31" s="191"/>
      <c r="G31" s="191"/>
      <c r="H31" s="191"/>
      <c r="I31" s="166">
        <f>V15</f>
        <v>11</v>
      </c>
      <c r="J31" s="1"/>
      <c r="K31" s="20"/>
      <c r="L31" s="1"/>
      <c r="M31" s="16" t="s">
        <v>7</v>
      </c>
      <c r="N31" s="166">
        <f>W15</f>
        <v>11</v>
      </c>
      <c r="O31" s="1"/>
      <c r="P31" s="8"/>
      <c r="Q31" s="8"/>
      <c r="R31" s="1"/>
      <c r="S31" s="6"/>
    </row>
    <row r="32" spans="1:41" ht="11.1" customHeight="1">
      <c r="A32" s="6"/>
      <c r="B32" s="7"/>
      <c r="C32" s="7"/>
      <c r="D32" s="7"/>
      <c r="E32" s="15"/>
      <c r="F32" s="15"/>
      <c r="G32" s="15"/>
      <c r="H32" s="15"/>
      <c r="I32" s="15"/>
      <c r="J32" s="1"/>
      <c r="K32" s="20"/>
      <c r="L32" s="1"/>
      <c r="M32" s="15"/>
      <c r="N32" s="15"/>
      <c r="O32" s="1"/>
      <c r="P32" s="8"/>
      <c r="Q32" s="8"/>
      <c r="R32" s="1"/>
      <c r="S32" s="6"/>
    </row>
    <row r="33" spans="1:19" ht="21.95" customHeight="1">
      <c r="A33" s="6"/>
      <c r="B33" s="7"/>
      <c r="C33" s="164" t="s">
        <v>203</v>
      </c>
      <c r="D33" s="7"/>
      <c r="E33" s="191" t="s">
        <v>7</v>
      </c>
      <c r="F33" s="191"/>
      <c r="G33" s="191"/>
      <c r="H33" s="191"/>
      <c r="I33" s="166">
        <f>V16</f>
        <v>12</v>
      </c>
      <c r="J33" s="1"/>
      <c r="K33" s="1"/>
      <c r="L33" s="1"/>
      <c r="M33" s="16" t="s">
        <v>7</v>
      </c>
      <c r="N33" s="166">
        <f>W16</f>
        <v>12</v>
      </c>
      <c r="O33" s="1"/>
      <c r="P33" s="8"/>
      <c r="Q33" s="8"/>
      <c r="R33" s="1"/>
      <c r="S33" s="6"/>
    </row>
    <row r="34" spans="1:19" ht="11.1" customHeight="1">
      <c r="A34" s="6"/>
      <c r="B34" s="7"/>
      <c r="C34" s="7"/>
      <c r="D34" s="7"/>
      <c r="E34" s="16"/>
      <c r="F34" s="16"/>
      <c r="G34" s="16"/>
      <c r="H34" s="16"/>
      <c r="I34" s="15"/>
      <c r="J34" s="1"/>
      <c r="K34" s="1"/>
      <c r="L34" s="1"/>
      <c r="M34" s="15"/>
      <c r="N34" s="15"/>
      <c r="O34" s="1"/>
      <c r="P34" s="8"/>
      <c r="Q34" s="8"/>
      <c r="R34" s="1"/>
      <c r="S34" s="6"/>
    </row>
    <row r="35" spans="1:19" ht="21.95" customHeight="1">
      <c r="A35" s="6"/>
      <c r="B35" s="7"/>
      <c r="C35" s="7"/>
      <c r="D35" s="7"/>
      <c r="E35" s="191" t="s">
        <v>7</v>
      </c>
      <c r="F35" s="191"/>
      <c r="G35" s="191"/>
      <c r="H35" s="191"/>
      <c r="I35" s="166">
        <f>V17</f>
        <v>13</v>
      </c>
      <c r="J35" s="1"/>
      <c r="K35" s="1"/>
      <c r="L35" s="1"/>
      <c r="M35" s="16" t="s">
        <v>7</v>
      </c>
      <c r="N35" s="166">
        <f>W17</f>
        <v>14</v>
      </c>
      <c r="O35" s="1"/>
      <c r="P35" s="8"/>
      <c r="Q35" s="8"/>
      <c r="R35" s="1"/>
      <c r="S35" s="6"/>
    </row>
    <row r="36" spans="1:19" ht="21.95" customHeight="1" thickBot="1">
      <c r="A36" s="6"/>
      <c r="B36" s="7"/>
      <c r="C36" s="7"/>
      <c r="D36" s="7"/>
      <c r="E36" s="117"/>
      <c r="F36" s="117"/>
      <c r="G36" s="1"/>
      <c r="H36" s="1"/>
      <c r="I36" s="1"/>
      <c r="J36" s="1"/>
      <c r="K36" s="1"/>
      <c r="L36" s="1"/>
      <c r="M36" s="1"/>
      <c r="N36" s="1"/>
      <c r="O36" s="1"/>
      <c r="P36" s="8"/>
      <c r="Q36" s="8"/>
      <c r="R36" s="1"/>
      <c r="S36" s="6"/>
    </row>
    <row r="37" spans="1:19" ht="25.5" customHeight="1" thickBot="1">
      <c r="A37" s="6"/>
      <c r="B37" s="7"/>
      <c r="C37" s="205" t="s">
        <v>198</v>
      </c>
      <c r="D37" s="206"/>
      <c r="E37" s="206"/>
      <c r="F37" s="206"/>
      <c r="G37" s="206"/>
      <c r="H37" s="206"/>
      <c r="I37" s="206"/>
      <c r="J37" s="206"/>
      <c r="K37" s="206"/>
      <c r="L37" s="206"/>
      <c r="M37" s="206"/>
      <c r="N37" s="206"/>
      <c r="O37" s="206"/>
      <c r="P37" s="206"/>
      <c r="Q37" s="207"/>
      <c r="R37" s="1"/>
      <c r="S37" s="6"/>
    </row>
    <row r="38" spans="1:19" ht="21.95" customHeight="1">
      <c r="A38" s="6"/>
      <c r="B38" s="7"/>
      <c r="C38" s="208" t="s">
        <v>194</v>
      </c>
      <c r="D38" s="209"/>
      <c r="E38" s="209"/>
      <c r="F38" s="209"/>
      <c r="G38" s="209"/>
      <c r="H38" s="209"/>
      <c r="I38" s="209"/>
      <c r="J38" s="209"/>
      <c r="K38" s="209"/>
      <c r="L38" s="209"/>
      <c r="M38" s="209"/>
      <c r="N38" s="209"/>
      <c r="O38" s="209"/>
      <c r="P38" s="209"/>
      <c r="Q38" s="210"/>
      <c r="R38" s="1"/>
      <c r="S38" s="6"/>
    </row>
    <row r="39" spans="1:19" ht="21.95" customHeight="1">
      <c r="A39" s="6"/>
      <c r="B39" s="7"/>
      <c r="C39" s="211" t="s">
        <v>195</v>
      </c>
      <c r="D39" s="212"/>
      <c r="E39" s="212"/>
      <c r="F39" s="212"/>
      <c r="G39" s="212"/>
      <c r="H39" s="212"/>
      <c r="I39" s="212"/>
      <c r="J39" s="212"/>
      <c r="K39" s="212"/>
      <c r="L39" s="212"/>
      <c r="M39" s="212"/>
      <c r="N39" s="212"/>
      <c r="O39" s="212"/>
      <c r="P39" s="212"/>
      <c r="Q39" s="213"/>
      <c r="R39" s="1"/>
      <c r="S39" s="6"/>
    </row>
    <row r="40" spans="1:19" ht="21.95" customHeight="1">
      <c r="A40" s="6"/>
      <c r="B40" s="7"/>
      <c r="C40" s="214" t="s">
        <v>199</v>
      </c>
      <c r="D40" s="215"/>
      <c r="E40" s="215"/>
      <c r="F40" s="215"/>
      <c r="G40" s="215"/>
      <c r="H40" s="215"/>
      <c r="I40" s="215"/>
      <c r="J40" s="215"/>
      <c r="K40" s="215"/>
      <c r="L40" s="215"/>
      <c r="M40" s="215"/>
      <c r="N40" s="215"/>
      <c r="O40" s="215"/>
      <c r="P40" s="215"/>
      <c r="Q40" s="216"/>
      <c r="R40" s="1"/>
      <c r="S40" s="6"/>
    </row>
    <row r="41" spans="1:19" ht="21.95" customHeight="1">
      <c r="A41" s="6"/>
      <c r="B41" s="7"/>
      <c r="C41" s="217" t="s">
        <v>196</v>
      </c>
      <c r="D41" s="218"/>
      <c r="E41" s="218"/>
      <c r="F41" s="218"/>
      <c r="G41" s="218"/>
      <c r="H41" s="218"/>
      <c r="I41" s="218"/>
      <c r="J41" s="218"/>
      <c r="K41" s="218"/>
      <c r="L41" s="218"/>
      <c r="M41" s="218"/>
      <c r="N41" s="218"/>
      <c r="O41" s="218"/>
      <c r="P41" s="218"/>
      <c r="Q41" s="219"/>
      <c r="R41" s="1"/>
      <c r="S41" s="6"/>
    </row>
    <row r="42" spans="1:19" ht="21.95" customHeight="1">
      <c r="A42" s="6"/>
      <c r="B42" s="7"/>
      <c r="C42" s="198" t="s">
        <v>197</v>
      </c>
      <c r="D42" s="199"/>
      <c r="E42" s="199"/>
      <c r="F42" s="199"/>
      <c r="G42" s="199"/>
      <c r="H42" s="199"/>
      <c r="I42" s="199"/>
      <c r="J42" s="199"/>
      <c r="K42" s="199"/>
      <c r="L42" s="199"/>
      <c r="M42" s="199"/>
      <c r="N42" s="199"/>
      <c r="O42" s="199"/>
      <c r="P42" s="199"/>
      <c r="Q42" s="200"/>
      <c r="R42" s="1"/>
      <c r="S42" s="6"/>
    </row>
    <row r="43" spans="1:19" ht="21.95" customHeight="1" thickBot="1">
      <c r="A43" s="6"/>
      <c r="B43" s="7"/>
      <c r="C43" s="201"/>
      <c r="D43" s="202"/>
      <c r="E43" s="202"/>
      <c r="F43" s="202"/>
      <c r="G43" s="202"/>
      <c r="H43" s="202"/>
      <c r="I43" s="202"/>
      <c r="J43" s="202"/>
      <c r="K43" s="202"/>
      <c r="L43" s="202"/>
      <c r="M43" s="202"/>
      <c r="N43" s="202"/>
      <c r="O43" s="202"/>
      <c r="P43" s="202"/>
      <c r="Q43" s="203"/>
      <c r="R43" s="1"/>
      <c r="S43" s="6"/>
    </row>
    <row r="44" spans="1:19">
      <c r="A44" s="6"/>
      <c r="B44" s="7"/>
      <c r="C44" s="7"/>
      <c r="D44" s="7"/>
      <c r="E44" s="1"/>
      <c r="F44" s="1"/>
      <c r="G44" s="1"/>
      <c r="H44" s="1"/>
      <c r="I44" s="1"/>
      <c r="J44" s="1"/>
      <c r="K44" s="1"/>
      <c r="L44" s="1"/>
      <c r="M44" s="7"/>
      <c r="N44" s="1"/>
      <c r="O44" s="1"/>
      <c r="P44" s="8"/>
      <c r="Q44" s="8"/>
      <c r="R44" s="1"/>
      <c r="S44" s="6"/>
    </row>
    <row r="45" spans="1:19">
      <c r="A45" s="1"/>
      <c r="B45" s="2"/>
      <c r="C45" s="3"/>
      <c r="D45" s="3"/>
      <c r="E45" s="2"/>
      <c r="F45" s="2"/>
      <c r="G45" s="2"/>
      <c r="H45" s="2"/>
      <c r="I45" s="2"/>
      <c r="J45" s="2"/>
      <c r="K45" s="2"/>
      <c r="L45" s="2"/>
      <c r="M45" s="3"/>
      <c r="N45" s="2"/>
      <c r="O45" s="2"/>
      <c r="P45" s="4"/>
      <c r="Q45" s="4"/>
      <c r="R45" s="2"/>
      <c r="S45" s="1"/>
    </row>
    <row r="46" spans="1:19"/>
    <row r="47" spans="1:19"/>
    <row r="48" spans="1:19" hidden="1"/>
    <row r="49" hidden="1"/>
    <row r="50"/>
  </sheetData>
  <sheetProtection password="C1FB" sheet="1" objects="1" scenarios="1" formatColumns="0" formatRows="0" selectLockedCells="1"/>
  <mergeCells count="29">
    <mergeCell ref="C37:Q37"/>
    <mergeCell ref="C38:Q38"/>
    <mergeCell ref="C39:Q39"/>
    <mergeCell ref="C40:Q40"/>
    <mergeCell ref="C41:Q41"/>
    <mergeCell ref="E3:M3"/>
    <mergeCell ref="M29:N29"/>
    <mergeCell ref="D7:Q7"/>
    <mergeCell ref="C42:Q42"/>
    <mergeCell ref="C43:Q43"/>
    <mergeCell ref="E33:H33"/>
    <mergeCell ref="E35:H35"/>
    <mergeCell ref="D5:Q5"/>
    <mergeCell ref="D11:I11"/>
    <mergeCell ref="D21:E21"/>
    <mergeCell ref="D23:I23"/>
    <mergeCell ref="G29:J29"/>
    <mergeCell ref="K11:M11"/>
    <mergeCell ref="K13:M13"/>
    <mergeCell ref="K15:M15"/>
    <mergeCell ref="K17:M17"/>
    <mergeCell ref="E31:H31"/>
    <mergeCell ref="D9:I9"/>
    <mergeCell ref="K9:M9"/>
    <mergeCell ref="K21:P21"/>
    <mergeCell ref="D27:I27"/>
    <mergeCell ref="K19:M19"/>
    <mergeCell ref="K23:M23"/>
    <mergeCell ref="D25:I25"/>
  </mergeCells>
  <conditionalFormatting sqref="C24:O27 K28:K32">
    <cfRule type="expression" dxfId="10" priority="13" stopIfTrue="1">
      <formula>$O$23=$AO$24</formula>
    </cfRule>
  </conditionalFormatting>
  <conditionalFormatting sqref="B16:R20">
    <cfRule type="expression" dxfId="9" priority="12" stopIfTrue="1">
      <formula>$R$15=$AO$24</formula>
    </cfRule>
  </conditionalFormatting>
  <conditionalFormatting sqref="R15:R19 O23 O25 O27">
    <cfRule type="cellIs" dxfId="8" priority="11" stopIfTrue="1" operator="equal">
      <formula>$AO$24</formula>
    </cfRule>
  </conditionalFormatting>
  <conditionalFormatting sqref="C18:R20">
    <cfRule type="expression" dxfId="7" priority="10" stopIfTrue="1">
      <formula>$R$17=$AO$24</formula>
    </cfRule>
  </conditionalFormatting>
  <conditionalFormatting sqref="C22:O27 K28:K32">
    <cfRule type="expression" dxfId="6" priority="3" stopIfTrue="1">
      <formula>$D$21=$AN$24</formula>
    </cfRule>
  </conditionalFormatting>
  <conditionalFormatting sqref="C26:O27 K28:K32">
    <cfRule type="expression" dxfId="5" priority="2" stopIfTrue="1">
      <formula>$O$25=$AO$24</formula>
    </cfRule>
  </conditionalFormatting>
  <conditionalFormatting sqref="K28:P36">
    <cfRule type="expression" dxfId="4" priority="1" stopIfTrue="1">
      <formula>$Q$21="NO"</formula>
    </cfRule>
  </conditionalFormatting>
  <dataValidations count="1">
    <dataValidation type="list" allowBlank="1" showInputMessage="1" showErrorMessage="1" sqref="D21:E21 Q21">
      <formula1>"YES , NO"</formula1>
    </dataValidation>
  </dataValidations>
  <hyperlinks>
    <hyperlink ref="C42" r:id="rId1"/>
    <hyperlink ref="C33"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sheetPr>
    <tabColor rgb="FF66FF66"/>
  </sheetPr>
  <dimension ref="A1:Z35"/>
  <sheetViews>
    <sheetView showGridLines="0" showRowColHeaders="0" workbookViewId="0">
      <selection activeCell="C13" sqref="C13"/>
    </sheetView>
  </sheetViews>
  <sheetFormatPr defaultColWidth="0" defaultRowHeight="15" zeroHeight="1"/>
  <cols>
    <col min="1" max="1" width="3.625" style="5" customWidth="1"/>
    <col min="2" max="2" width="48.625" style="5" customWidth="1"/>
    <col min="3" max="3" width="8.875" style="5" customWidth="1"/>
    <col min="4" max="4" width="8.375" style="5" customWidth="1"/>
    <col min="5" max="5" width="12.625" style="5" customWidth="1"/>
    <col min="6" max="6" width="2.25" style="5" customWidth="1"/>
    <col min="7" max="7" width="14.25" style="5" customWidth="1"/>
    <col min="8" max="8" width="11.125" style="5" customWidth="1"/>
    <col min="9" max="9" width="10.625" style="5" customWidth="1"/>
    <col min="10" max="10" width="10.75" style="5" customWidth="1"/>
    <col min="11" max="11" width="3.625" style="5" customWidth="1"/>
    <col min="12" max="12" width="9" style="5" customWidth="1"/>
    <col min="13" max="25" width="9" style="5" hidden="1" customWidth="1"/>
    <col min="26" max="26" width="0" style="5" hidden="1" customWidth="1"/>
    <col min="27" max="16384" width="9" style="5" hidden="1"/>
  </cols>
  <sheetData>
    <row r="1" spans="1:26">
      <c r="A1" s="43"/>
      <c r="B1" s="42"/>
      <c r="C1" s="42"/>
      <c r="D1" s="42"/>
      <c r="E1" s="42"/>
      <c r="F1" s="42"/>
      <c r="G1" s="42"/>
      <c r="H1" s="42"/>
      <c r="I1" s="42"/>
      <c r="J1" s="42"/>
      <c r="K1" s="43"/>
    </row>
    <row r="2" spans="1:26">
      <c r="A2" s="42"/>
      <c r="B2" s="34"/>
      <c r="C2" s="34"/>
      <c r="D2" s="34"/>
      <c r="E2" s="34"/>
      <c r="F2" s="34"/>
      <c r="G2" s="34"/>
      <c r="H2" s="34"/>
      <c r="I2" s="34"/>
      <c r="J2" s="34"/>
      <c r="K2" s="42"/>
      <c r="Z2" s="18" t="s">
        <v>124</v>
      </c>
    </row>
    <row r="3" spans="1:26" s="18" customFormat="1" ht="24.95" customHeight="1">
      <c r="A3" s="44"/>
      <c r="B3" s="37"/>
      <c r="C3" s="228" t="s">
        <v>74</v>
      </c>
      <c r="D3" s="228"/>
      <c r="E3" s="228"/>
      <c r="F3" s="37"/>
      <c r="G3" s="37"/>
      <c r="H3" s="37"/>
      <c r="I3" s="37"/>
      <c r="J3" s="37"/>
      <c r="K3" s="44"/>
      <c r="Z3" s="18" t="s">
        <v>21</v>
      </c>
    </row>
    <row r="4" spans="1:26">
      <c r="A4" s="42"/>
      <c r="B4" s="34"/>
      <c r="C4" s="34"/>
      <c r="D4" s="34"/>
      <c r="E4" s="34"/>
      <c r="F4" s="34"/>
      <c r="G4" s="34"/>
      <c r="H4" s="34"/>
      <c r="I4" s="34"/>
      <c r="J4" s="34"/>
      <c r="K4" s="42"/>
    </row>
    <row r="5" spans="1:26" ht="21.95" customHeight="1">
      <c r="A5" s="42"/>
      <c r="B5" s="35" t="s">
        <v>68</v>
      </c>
      <c r="C5" s="232" t="str">
        <f>IF('Master Sheet'!D5="","",'Master Sheet'!D5)</f>
        <v>महात्मा गाँधी राजकीय विद्यालय (अंग्रेजी माध्यम) बर, (ब्यावर)</v>
      </c>
      <c r="D5" s="232"/>
      <c r="E5" s="232"/>
      <c r="F5" s="232"/>
      <c r="G5" s="232"/>
      <c r="H5" s="232"/>
      <c r="I5" s="232"/>
      <c r="J5" s="232"/>
      <c r="K5" s="42"/>
    </row>
    <row r="6" spans="1:26" ht="21.95" customHeight="1">
      <c r="A6" s="42"/>
      <c r="B6" s="35" t="s">
        <v>69</v>
      </c>
      <c r="C6" s="229" t="str">
        <f>IF('Master Sheet'!D7="","",'Master Sheet'!D7)</f>
        <v>Mahatma Gandhi Government School (English Medium) Bar, (Beawar)</v>
      </c>
      <c r="D6" s="229"/>
      <c r="E6" s="229"/>
      <c r="F6" s="229"/>
      <c r="G6" s="229"/>
      <c r="H6" s="229"/>
      <c r="I6" s="229"/>
      <c r="J6" s="229"/>
      <c r="K6" s="42"/>
    </row>
    <row r="7" spans="1:26" ht="9.9499999999999993" customHeight="1">
      <c r="A7" s="42"/>
      <c r="B7" s="35"/>
      <c r="C7" s="36"/>
      <c r="D7" s="36"/>
      <c r="E7" s="36"/>
      <c r="F7" s="34"/>
      <c r="G7" s="37"/>
      <c r="H7" s="37"/>
      <c r="I7" s="34"/>
      <c r="J7" s="34"/>
      <c r="K7" s="42"/>
    </row>
    <row r="8" spans="1:26" ht="21.95" customHeight="1">
      <c r="A8" s="42"/>
      <c r="B8" s="35" t="s">
        <v>0</v>
      </c>
      <c r="C8" s="229" t="str">
        <f>IF('Master Sheet'!D11="","",'Master Sheet'!D11)</f>
        <v>HEERALAL JAT</v>
      </c>
      <c r="D8" s="229"/>
      <c r="E8" s="229"/>
      <c r="F8" s="229"/>
      <c r="G8" s="229"/>
      <c r="H8" s="229"/>
      <c r="I8" s="34"/>
      <c r="J8" s="34"/>
      <c r="K8" s="42"/>
    </row>
    <row r="9" spans="1:26" ht="11.25" customHeight="1">
      <c r="A9" s="42"/>
      <c r="B9" s="34"/>
      <c r="C9" s="34"/>
      <c r="D9" s="34"/>
      <c r="E9" s="34"/>
      <c r="F9" s="34"/>
      <c r="G9" s="34"/>
      <c r="H9" s="34"/>
      <c r="I9" s="34"/>
      <c r="J9" s="34"/>
      <c r="K9" s="42"/>
    </row>
    <row r="10" spans="1:26" ht="21.95" customHeight="1">
      <c r="A10" s="42"/>
      <c r="B10" s="35" t="s">
        <v>9</v>
      </c>
      <c r="C10" s="229" t="str">
        <f>IF('Master Sheet'!N11="","",'Master Sheet'!N11)</f>
        <v>Sr. Teacher</v>
      </c>
      <c r="D10" s="229"/>
      <c r="E10" s="229"/>
      <c r="F10" s="34"/>
      <c r="G10" s="38" t="s">
        <v>7</v>
      </c>
      <c r="H10" s="39">
        <f>IF('Master Sheet'!Q11="","",'Master Sheet'!Q11)</f>
        <v>11</v>
      </c>
      <c r="I10" s="34"/>
      <c r="J10" s="34"/>
      <c r="K10" s="42"/>
    </row>
    <row r="11" spans="1:26" ht="24.75" customHeight="1">
      <c r="A11" s="42"/>
      <c r="B11" s="228" t="s">
        <v>216</v>
      </c>
      <c r="C11" s="228"/>
      <c r="D11" s="228"/>
      <c r="E11" s="228"/>
      <c r="F11" s="228"/>
      <c r="G11" s="228"/>
      <c r="H11" s="228"/>
      <c r="I11" s="228"/>
      <c r="J11" s="228"/>
      <c r="K11" s="42"/>
    </row>
    <row r="12" spans="1:26" ht="16.5" customHeight="1">
      <c r="A12" s="42"/>
      <c r="B12" s="34"/>
      <c r="C12" s="91" t="s">
        <v>18</v>
      </c>
      <c r="D12" s="91" t="s">
        <v>19</v>
      </c>
      <c r="E12" s="91" t="s">
        <v>20</v>
      </c>
      <c r="F12" s="34"/>
      <c r="G12" s="34"/>
      <c r="H12" s="34"/>
      <c r="I12" s="34"/>
      <c r="J12" s="34"/>
      <c r="K12" s="42"/>
    </row>
    <row r="13" spans="1:26" ht="21.95" customHeight="1">
      <c r="A13" s="42"/>
      <c r="B13" s="173" t="s">
        <v>128</v>
      </c>
      <c r="C13" s="88">
        <v>24</v>
      </c>
      <c r="D13" s="89">
        <v>7</v>
      </c>
      <c r="E13" s="90">
        <v>2024</v>
      </c>
      <c r="F13" s="34"/>
      <c r="G13" s="45" t="s">
        <v>127</v>
      </c>
      <c r="H13" s="41">
        <v>18</v>
      </c>
      <c r="I13" s="156"/>
      <c r="J13" s="183">
        <f>IFERROR(IF(C15="","",MROUND(C15*103%,100)),"")</f>
        <v>58900</v>
      </c>
      <c r="K13" s="42"/>
    </row>
    <row r="14" spans="1:26">
      <c r="A14" s="42"/>
      <c r="B14" s="34"/>
      <c r="C14" s="34"/>
      <c r="D14" s="34"/>
      <c r="E14" s="34"/>
      <c r="F14" s="34"/>
      <c r="G14" s="34"/>
      <c r="H14" s="34"/>
      <c r="I14" s="34"/>
      <c r="J14" s="34"/>
      <c r="K14" s="42"/>
    </row>
    <row r="15" spans="1:26" ht="21.95" customHeight="1">
      <c r="A15" s="42"/>
      <c r="B15" s="35" t="s">
        <v>72</v>
      </c>
      <c r="C15" s="220">
        <v>57200</v>
      </c>
      <c r="D15" s="221"/>
      <c r="E15" s="222"/>
      <c r="F15" s="34"/>
      <c r="G15" s="38" t="s">
        <v>7</v>
      </c>
      <c r="H15" s="40" t="s">
        <v>49</v>
      </c>
      <c r="I15" s="34"/>
      <c r="J15" s="34"/>
      <c r="K15" s="42"/>
    </row>
    <row r="16" spans="1:26">
      <c r="A16" s="42"/>
      <c r="B16" s="34"/>
      <c r="C16" s="34"/>
      <c r="D16" s="34"/>
      <c r="E16" s="34"/>
      <c r="F16" s="34"/>
      <c r="G16" s="34"/>
      <c r="H16" s="34"/>
      <c r="I16" s="34"/>
      <c r="J16" s="34"/>
      <c r="K16" s="42"/>
    </row>
    <row r="17" spans="1:11" ht="21.95" customHeight="1">
      <c r="A17" s="42"/>
      <c r="B17" s="35" t="s">
        <v>73</v>
      </c>
      <c r="C17" s="223">
        <f>IF($H$17="L-24",SMALL(L_24,COUNTIF(L_24,"&lt;"&amp;$J$13)+1),IF($H$17="L-23",SMALL(L_23,COUNTIF(L_23,"&lt;"&amp;$J$13)+1),IF($H$17="L-23",SMALL(L_23,COUNTIF(L_23,"&lt;"&amp;$J$13)+1),IF($H$17="L-22",SMALL(L_22,COUNTIF(L_22,"&lt;"&amp;$J$13)+1),IF($H$17="L-21",SMALL(L_21,COUNTIF(L_21,"&lt;"&amp;$J$13)+1),IF($H$17="L-20",SMALL(L_20,COUNTIF(L_20,"&lt;"&amp;$J$13)+1),IF($H$17="L-19",SMALL(L_19,COUNTIF(L_19,"&lt;"&amp;$J$13)+1),IF($H$17="L-18",SMALL(L_18,COUNTIF(L_18,"&lt;"&amp;$J$13)+1),IF($H$17="L-17",SMALL(L_17,COUNTIF(L_17,"&lt;"&amp;$J$13)+1),IF($H$17="L-16",SMALL(L_16,COUNTIF(L_16,"&lt;"&amp;$J$13)+1),IF($H$17="L-15",SMALL(L_15,COUNTIF(L_15,"&lt;"&amp;$J$13)+1),IF($H$17="L-14",SMALL(L_14,COUNTIF(L_14,"&lt;"&amp;$J$13)+1),IF($H$17="L-13",SMALL(L_13,COUNTIF(L_13,"&lt;"&amp;$J$13)+1),IF($H$17="L-12",SMALL(L_12,COUNTIF(L_12,"&lt;"&amp;$J$13)+1),IF($H$17="L-11",SMALL(L_11,COUNTIF(L_11,"&lt;"&amp;$J$13)+1),IF($H$17="L-12",SMALL(L_12,COUNTIF(L_12,"&lt;"&amp;$J$13)+1),IF($H$17="L-11",SMALL(L_11,COUNTIF(L_11,"&lt;"&amp;$J$13)+1),IF($H$17="L-10",SMALL(L_10,COUNTIF(L_10,"&lt;"&amp;$J$13)+1),IF($H$17="L-9",SMALL(L_9,COUNTIF(L_9,"&lt;"&amp;$J$13)+1),IF($H$17="L-8",SMALL(L_8,COUNTIF(L_8,"&lt;"&amp;$J$13)+1),IF($H$17="L-7",SMALL(L_7,COUNTIF(L_7,"&lt;"&amp;$J$13)+1),IF($H$17="L-6",SMALL(L_6,COUNTIF(L_6,"&lt;"&amp;$J$13)+1),IF($H$17="L-5",SMALL(L_5,COUNTIF(L_5,"&lt;"&amp;$J$13)+1),IF($H$17="L-4",SMALL(L_4,COUNTIF(L_4,"&lt;"&amp;$J$13)+1),IF($H$17="L-3",SMALL(L_3,COUNTIF(L_3,"&lt;"&amp;$J$13)+1),IF($H$17="L-2",SMALL(L_2,COUNTIF(L_2,"&lt;"&amp;$J$13)+1),IF($H$17="L-1",SMALL(L_1,COUNTIF(L_1,"&lt;"&amp;$J$13)+1),"")))))))))))))))))))))))))))</f>
        <v>59500</v>
      </c>
      <c r="D17" s="224"/>
      <c r="E17" s="225"/>
      <c r="F17" s="34"/>
      <c r="G17" s="38" t="s">
        <v>7</v>
      </c>
      <c r="H17" s="40" t="s">
        <v>50</v>
      </c>
      <c r="I17" s="34"/>
      <c r="J17" s="34"/>
      <c r="K17" s="42"/>
    </row>
    <row r="18" spans="1:11">
      <c r="A18" s="42"/>
      <c r="B18" s="34"/>
      <c r="C18" s="34"/>
      <c r="D18" s="34"/>
      <c r="E18" s="34"/>
      <c r="F18" s="34"/>
      <c r="G18" s="34"/>
      <c r="H18" s="34"/>
      <c r="I18" s="34"/>
      <c r="J18" s="34"/>
      <c r="K18" s="42"/>
    </row>
    <row r="19" spans="1:11" ht="24" customHeight="1">
      <c r="A19" s="42"/>
      <c r="B19" s="228" t="s">
        <v>217</v>
      </c>
      <c r="C19" s="228"/>
      <c r="D19" s="228"/>
      <c r="E19" s="228"/>
      <c r="F19" s="228"/>
      <c r="G19" s="228"/>
      <c r="H19" s="228"/>
      <c r="I19" s="228"/>
      <c r="J19" s="228"/>
      <c r="K19" s="42"/>
    </row>
    <row r="20" spans="1:11" ht="21.95" customHeight="1">
      <c r="A20" s="42"/>
      <c r="B20" s="230" t="s">
        <v>136</v>
      </c>
      <c r="C20" s="230"/>
      <c r="D20" s="230"/>
      <c r="E20" s="230"/>
      <c r="F20" s="230"/>
      <c r="G20" s="231"/>
      <c r="H20" s="41" t="s">
        <v>21</v>
      </c>
      <c r="I20" s="233" t="s">
        <v>218</v>
      </c>
      <c r="J20" s="234"/>
      <c r="K20" s="42"/>
    </row>
    <row r="21" spans="1:11">
      <c r="A21" s="42"/>
      <c r="B21" s="227" t="s">
        <v>129</v>
      </c>
      <c r="C21" s="227"/>
      <c r="D21" s="227"/>
      <c r="E21" s="227"/>
      <c r="F21" s="227"/>
      <c r="G21" s="227"/>
      <c r="H21" s="34"/>
      <c r="I21" s="234"/>
      <c r="J21" s="234"/>
      <c r="K21" s="42"/>
    </row>
    <row r="22" spans="1:11">
      <c r="A22" s="42"/>
      <c r="B22" s="94"/>
      <c r="C22" s="91" t="s">
        <v>18</v>
      </c>
      <c r="D22" s="91" t="s">
        <v>19</v>
      </c>
      <c r="E22" s="91" t="s">
        <v>20</v>
      </c>
      <c r="F22" s="94"/>
      <c r="G22" s="94"/>
      <c r="H22" s="34"/>
      <c r="I22" s="34"/>
      <c r="J22" s="34"/>
      <c r="K22" s="42"/>
    </row>
    <row r="23" spans="1:11" ht="21.95" customHeight="1">
      <c r="A23" s="42"/>
      <c r="B23" s="35" t="s">
        <v>135</v>
      </c>
      <c r="C23" s="88">
        <v>7</v>
      </c>
      <c r="D23" s="89">
        <v>10</v>
      </c>
      <c r="E23" s="90">
        <v>2022</v>
      </c>
      <c r="F23" s="94"/>
      <c r="G23" s="95" t="s">
        <v>137</v>
      </c>
      <c r="H23" s="41">
        <v>18</v>
      </c>
      <c r="I23" s="226" t="s">
        <v>139</v>
      </c>
      <c r="J23" s="226"/>
      <c r="K23" s="42"/>
    </row>
    <row r="24" spans="1:11">
      <c r="A24" s="42"/>
      <c r="B24" s="94"/>
      <c r="C24" s="94"/>
      <c r="D24" s="94"/>
      <c r="E24" s="94"/>
      <c r="F24" s="94"/>
      <c r="G24" s="94"/>
      <c r="H24" s="34"/>
      <c r="I24" s="226"/>
      <c r="J24" s="226"/>
      <c r="K24" s="42"/>
    </row>
    <row r="25" spans="1:11" ht="21.95" customHeight="1">
      <c r="A25" s="42"/>
      <c r="B25" s="35" t="s">
        <v>140</v>
      </c>
      <c r="C25" s="220">
        <v>59500</v>
      </c>
      <c r="D25" s="221"/>
      <c r="E25" s="222"/>
      <c r="F25" s="34"/>
      <c r="G25" s="95" t="s">
        <v>7</v>
      </c>
      <c r="H25" s="40" t="s">
        <v>50</v>
      </c>
      <c r="I25" s="226"/>
      <c r="J25" s="226"/>
      <c r="K25" s="42"/>
    </row>
    <row r="26" spans="1:11" ht="15" customHeight="1">
      <c r="A26" s="42"/>
      <c r="B26" s="104" t="s">
        <v>141</v>
      </c>
      <c r="C26" s="34"/>
      <c r="D26" s="34"/>
      <c r="E26" s="34"/>
      <c r="F26" s="34"/>
      <c r="G26" s="34"/>
      <c r="H26" s="34"/>
      <c r="I26" s="226"/>
      <c r="J26" s="226"/>
      <c r="K26" s="42"/>
    </row>
    <row r="27" spans="1:11" ht="21.95" customHeight="1">
      <c r="A27" s="42"/>
      <c r="B27" s="102" t="s">
        <v>138</v>
      </c>
      <c r="C27" s="223">
        <f>IF($H$27="L-24",SMALL(L_24,COUNTIF(L_24,"&lt;"&amp;"="&amp;$J$28)+1),IF($H$27="L-23",SMALL(L_23,COUNTIF(L_23,"&lt;"&amp;"="&amp;$J$28)+1),IF($H$27="L-23",SMALL(L_23,COUNTIF(L_23,"&lt;"&amp;"="&amp;$J$28)+1),IF($H$27="L-22",SMALL(L_22,COUNTIF(L_22,"&lt;"&amp;"="&amp;$J$28)+1),IF($H$27="L-21",SMALL(L_21,COUNTIF(L_21,"&lt;"&amp;"="&amp;$J$28)+1),IF($H$27="L-20",SMALL(L_20,COUNTIF(L_20,"&lt;"&amp;"="&amp;$J$28)+1),IF($H$27="L-19",SMALL(L_19,COUNTIF(L_19,"&lt;"&amp;"="&amp;$J$28)+1),IF($H$27="L-18",SMALL(L_18,COUNTIF(L_18,"&lt;"&amp;"="&amp;$J$28)+1),IF($H$27="L-17",SMALL(L_17,COUNTIF(L_17,"&lt;"&amp;"="&amp;$J$28)+1),IF($H$27="L-16",SMALL(L_16,COUNTIF(L_16,"&lt;"&amp;"="&amp;$J$28)+1),IF($H$27="L-15",SMALL(L_15,COUNTIF(L_15,"&lt;"&amp;"="&amp;$J$28)+1),IF($H$27="L-14",SMALL(L_14,COUNTIF(L_14,"&lt;"&amp;"="&amp;$J$28)+1),IF($H$27="L-13",SMALL(L_13,COUNTIF(L_13,"&lt;"&amp;"="&amp;$J$28)+1),IF($H$27="L-12",SMALL(L_12,COUNTIF(L_12,"&lt;"&amp;"="&amp;$J$28)+1),IF($H$27="L-11",SMALL(L_11,COUNTIF(L_11,"&lt;"&amp;"="&amp;$J$28)+1),IF($H$27="L-12",SMALL(L_12,COUNTIF(L_12,"&lt;"&amp;"="&amp;$J$28)+1),IF($H$27="L-11",SMALL(L_11,COUNTIF(L_11,"&lt;"&amp;"="&amp;$J$28)+1),IF($H$27="L-10",SMALL(L_10,COUNTIF(L_10,"&lt;"&amp;"="&amp;$J$28)+1),IF($H$27="L-9",SMALL(L_9,COUNTIF(L_9,"&lt;"&amp;"="&amp;$J$28)+1),IF($H$27="L-8",SMALL(L_8,COUNTIF(L_8,"&lt;"&amp;"="&amp;$J$28)+1),IF($H$27="L-7",SMALL(L_7,COUNTIF(L_7,"&lt;"&amp;"="&amp;$J$28)+1),IF($H$27="L-6",SMALL(L_6,COUNTIF(L_6,"&lt;"&amp;"="&amp;$J$28)+1),IF($H$27="L-5",SMALL(L_5,COUNTIF(L_5,"&lt;"&amp;"="&amp;$J$28)+1),IF($H$27="L-4",SMALL(L_4,COUNTIF(L_4,"&lt;"&amp;"="&amp;$J$28)+1),IF($H$27="L-3",SMALL(L_3,COUNTIF(L_3,"&lt;"&amp;"="&amp;$J$28)+1),IF($H$27="L-2",SMALL(L_2,COUNTIF(L_2,"&lt;"&amp;"="&amp;$J$28)+1),IF($H$27="L-1",SMALL(L_1,COUNTIF(L_1,"&lt;"&amp;"="&amp;$J$28)+1),"")))))))))))))))))))))))))))</f>
        <v>63100</v>
      </c>
      <c r="D27" s="224"/>
      <c r="E27" s="225"/>
      <c r="F27" s="34"/>
      <c r="G27" s="95" t="s">
        <v>7</v>
      </c>
      <c r="H27" s="40" t="s">
        <v>52</v>
      </c>
      <c r="I27" s="226"/>
      <c r="J27" s="226"/>
      <c r="K27" s="42"/>
    </row>
    <row r="28" spans="1:11" ht="15" customHeight="1">
      <c r="A28" s="42"/>
      <c r="B28" s="99"/>
      <c r="C28" s="91" t="s">
        <v>18</v>
      </c>
      <c r="D28" s="91" t="s">
        <v>19</v>
      </c>
      <c r="E28" s="91" t="s">
        <v>20</v>
      </c>
      <c r="F28" s="103"/>
      <c r="G28" s="103"/>
      <c r="H28" s="103"/>
      <c r="I28" s="103"/>
      <c r="J28" s="184">
        <f>IFERROR(IF(C25="","",MROUND(C25*103%,100)),"")</f>
        <v>61300</v>
      </c>
      <c r="K28" s="42"/>
    </row>
    <row r="29" spans="1:11" ht="21.95" customHeight="1">
      <c r="A29" s="42"/>
      <c r="B29" s="102" t="s">
        <v>142</v>
      </c>
      <c r="C29" s="88">
        <v>1</v>
      </c>
      <c r="D29" s="89">
        <v>4</v>
      </c>
      <c r="E29" s="90">
        <v>2023</v>
      </c>
      <c r="F29" s="34"/>
      <c r="G29" s="95"/>
      <c r="H29" s="103"/>
      <c r="I29" s="103"/>
      <c r="J29" s="103"/>
      <c r="K29" s="42"/>
    </row>
    <row r="30" spans="1:11" ht="20.25" customHeight="1">
      <c r="A30" s="42"/>
      <c r="B30" s="34"/>
      <c r="C30" s="34"/>
      <c r="D30" s="34"/>
      <c r="E30" s="34"/>
      <c r="F30" s="34"/>
      <c r="G30" s="34"/>
      <c r="H30" s="34"/>
      <c r="I30" s="34"/>
      <c r="J30" s="34"/>
      <c r="K30" s="42"/>
    </row>
    <row r="31" spans="1:11">
      <c r="A31" s="43"/>
      <c r="B31" s="42"/>
      <c r="C31" s="42"/>
      <c r="D31" s="42"/>
      <c r="E31" s="42"/>
      <c r="F31" s="42"/>
      <c r="G31" s="42"/>
      <c r="H31" s="42"/>
      <c r="I31" s="42"/>
      <c r="J31" s="42"/>
      <c r="K31" s="43"/>
    </row>
    <row r="32" spans="1:11" ht="21.75" customHeight="1"/>
    <row r="33" ht="18.75" customHeight="1"/>
    <row r="34" ht="18" customHeight="1"/>
    <row r="35"/>
  </sheetData>
  <sheetProtection password="C1FB" sheet="1" objects="1" scenarios="1" formatColumns="0" formatRows="0" selectLockedCells="1"/>
  <mergeCells count="15">
    <mergeCell ref="C25:E25"/>
    <mergeCell ref="C27:E27"/>
    <mergeCell ref="I23:J27"/>
    <mergeCell ref="B21:G21"/>
    <mergeCell ref="C3:E3"/>
    <mergeCell ref="C8:H8"/>
    <mergeCell ref="B20:G20"/>
    <mergeCell ref="C5:J5"/>
    <mergeCell ref="C6:J6"/>
    <mergeCell ref="C15:E15"/>
    <mergeCell ref="C17:E17"/>
    <mergeCell ref="C10:E10"/>
    <mergeCell ref="B11:J11"/>
    <mergeCell ref="B19:J19"/>
    <mergeCell ref="I20:J21"/>
  </mergeCells>
  <conditionalFormatting sqref="B22:J30">
    <cfRule type="expression" dxfId="3" priority="1" stopIfTrue="1">
      <formula>$H$20="NO"</formula>
    </cfRule>
  </conditionalFormatting>
  <dataValidations count="3">
    <dataValidation type="list" allowBlank="1" showInputMessage="1" showErrorMessage="1" sqref="H20">
      <formula1>$Z$2:$Z$3</formula1>
    </dataValidation>
    <dataValidation type="list" allowBlank="1" showInputMessage="1" showErrorMessage="1" sqref="H13 H23">
      <formula1>"9, 18, 27"</formula1>
    </dataValidation>
    <dataValidation type="list" allowBlank="1" showInputMessage="1" showErrorMessage="1" sqref="H15 H17 H25 H27">
      <formula1>Level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99FF33"/>
  </sheetPr>
  <dimension ref="A1:AB74"/>
  <sheetViews>
    <sheetView showGridLines="0" showRowColHeaders="0" workbookViewId="0">
      <selection activeCell="G19" sqref="G19"/>
    </sheetView>
  </sheetViews>
  <sheetFormatPr defaultColWidth="0" defaultRowHeight="15" zeroHeight="1"/>
  <cols>
    <col min="1" max="1" width="3.5" style="5" customWidth="1"/>
    <col min="2" max="2" width="18.125" style="5" customWidth="1"/>
    <col min="3" max="26" width="9" style="5" customWidth="1"/>
    <col min="27" max="27" width="3.875" style="5" customWidth="1"/>
    <col min="28" max="28" width="9" style="5" customWidth="1"/>
    <col min="29" max="16384" width="9" style="5" hidden="1"/>
  </cols>
  <sheetData>
    <row r="1" spans="1:27">
      <c r="A1" s="43"/>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43"/>
    </row>
    <row r="2" spans="1:27" ht="18.75" customHeight="1">
      <c r="A2" s="235"/>
      <c r="B2" s="61"/>
      <c r="C2" s="241" t="s">
        <v>126</v>
      </c>
      <c r="D2" s="241"/>
      <c r="E2" s="241"/>
      <c r="F2" s="241"/>
      <c r="G2" s="241"/>
      <c r="H2" s="241"/>
      <c r="I2" s="241"/>
      <c r="J2" s="241"/>
      <c r="K2" s="241"/>
      <c r="L2" s="241"/>
      <c r="M2" s="241"/>
      <c r="N2" s="241"/>
      <c r="O2" s="241"/>
      <c r="P2" s="241"/>
      <c r="Q2" s="241"/>
      <c r="R2" s="241"/>
      <c r="S2" s="241"/>
      <c r="T2" s="241"/>
      <c r="U2" s="241"/>
      <c r="V2" s="61"/>
      <c r="W2" s="61"/>
      <c r="X2" s="61"/>
      <c r="Y2" s="61"/>
      <c r="Z2" s="61"/>
      <c r="AA2" s="235"/>
    </row>
    <row r="3" spans="1:27" ht="21">
      <c r="A3" s="235"/>
      <c r="B3" s="61"/>
      <c r="C3" s="61"/>
      <c r="D3" s="61"/>
      <c r="E3" s="61"/>
      <c r="F3" s="61"/>
      <c r="G3" s="61"/>
      <c r="H3" s="61"/>
      <c r="I3" s="61"/>
      <c r="J3" s="61"/>
      <c r="K3" s="61"/>
      <c r="L3" s="61"/>
      <c r="M3" s="238" t="s">
        <v>67</v>
      </c>
      <c r="N3" s="238"/>
      <c r="O3" s="238"/>
      <c r="P3" s="238"/>
      <c r="Q3" s="61"/>
      <c r="R3" s="61"/>
      <c r="S3" s="61"/>
      <c r="T3" s="61"/>
      <c r="U3" s="61"/>
      <c r="V3" s="61"/>
      <c r="W3" s="61"/>
      <c r="X3" s="61"/>
      <c r="Y3" s="61"/>
      <c r="Z3" s="61"/>
      <c r="AA3" s="235"/>
    </row>
    <row r="4" spans="1:27">
      <c r="A4" s="235"/>
      <c r="B4" s="61"/>
      <c r="C4" s="61"/>
      <c r="D4" s="61"/>
      <c r="E4" s="61"/>
      <c r="F4" s="61"/>
      <c r="G4" s="61"/>
      <c r="H4" s="61"/>
      <c r="I4" s="61"/>
      <c r="J4" s="61"/>
      <c r="K4" s="61"/>
      <c r="L4" s="61"/>
      <c r="M4" s="61"/>
      <c r="N4" s="61"/>
      <c r="O4" s="61"/>
      <c r="P4" s="61"/>
      <c r="Q4" s="61"/>
      <c r="R4" s="61"/>
      <c r="S4" s="61"/>
      <c r="T4" s="61"/>
      <c r="U4" s="61"/>
      <c r="V4" s="61"/>
      <c r="W4" s="61"/>
      <c r="X4" s="61"/>
      <c r="Y4" s="61"/>
      <c r="Z4" s="61"/>
      <c r="AA4" s="235"/>
    </row>
    <row r="5" spans="1:27" ht="23.25" customHeight="1">
      <c r="A5" s="235"/>
      <c r="B5" s="239" t="s">
        <v>30</v>
      </c>
      <c r="C5" s="239"/>
      <c r="D5" s="239"/>
      <c r="E5" s="239"/>
      <c r="F5" s="239"/>
      <c r="G5" s="239"/>
      <c r="H5" s="239"/>
      <c r="I5" s="239"/>
      <c r="J5" s="239"/>
      <c r="K5" s="239"/>
      <c r="L5" s="239"/>
      <c r="M5" s="239"/>
      <c r="N5" s="239"/>
      <c r="O5" s="239"/>
      <c r="P5" s="239"/>
      <c r="Q5" s="239"/>
      <c r="R5" s="239"/>
      <c r="S5" s="239"/>
      <c r="T5" s="239"/>
      <c r="U5" s="239"/>
      <c r="V5" s="239"/>
      <c r="W5" s="239"/>
      <c r="X5" s="239"/>
      <c r="Y5" s="239"/>
      <c r="Z5" s="239"/>
      <c r="AA5" s="235"/>
    </row>
    <row r="6" spans="1:27" s="176" customFormat="1" ht="21.95" customHeight="1">
      <c r="A6" s="235"/>
      <c r="B6" s="62" t="s">
        <v>31</v>
      </c>
      <c r="C6" s="240" t="s">
        <v>63</v>
      </c>
      <c r="D6" s="240"/>
      <c r="E6" s="240"/>
      <c r="F6" s="240"/>
      <c r="G6" s="240"/>
      <c r="H6" s="240"/>
      <c r="I6" s="240"/>
      <c r="J6" s="240"/>
      <c r="K6" s="240"/>
      <c r="L6" s="240" t="s">
        <v>64</v>
      </c>
      <c r="M6" s="240"/>
      <c r="N6" s="240"/>
      <c r="O6" s="240"/>
      <c r="P6" s="240" t="s">
        <v>65</v>
      </c>
      <c r="Q6" s="240"/>
      <c r="R6" s="240"/>
      <c r="S6" s="240"/>
      <c r="T6" s="240"/>
      <c r="U6" s="240"/>
      <c r="V6" s="240"/>
      <c r="W6" s="240" t="s">
        <v>66</v>
      </c>
      <c r="X6" s="240"/>
      <c r="Y6" s="240"/>
      <c r="Z6" s="240"/>
      <c r="AA6" s="235"/>
    </row>
    <row r="7" spans="1:27" s="176" customFormat="1" ht="21.95" customHeight="1">
      <c r="A7" s="235"/>
      <c r="B7" s="62" t="s">
        <v>32</v>
      </c>
      <c r="C7" s="62">
        <v>1700</v>
      </c>
      <c r="D7" s="62">
        <v>1750</v>
      </c>
      <c r="E7" s="62">
        <v>1900</v>
      </c>
      <c r="F7" s="62">
        <v>2000</v>
      </c>
      <c r="G7" s="62">
        <v>2400</v>
      </c>
      <c r="H7" s="62">
        <v>2400</v>
      </c>
      <c r="I7" s="62">
        <v>2400</v>
      </c>
      <c r="J7" s="62">
        <v>2800</v>
      </c>
      <c r="K7" s="62">
        <v>2800</v>
      </c>
      <c r="L7" s="62">
        <v>3600</v>
      </c>
      <c r="M7" s="62">
        <v>4200</v>
      </c>
      <c r="N7" s="62">
        <v>4800</v>
      </c>
      <c r="O7" s="62">
        <v>5400</v>
      </c>
      <c r="P7" s="62">
        <v>5400</v>
      </c>
      <c r="Q7" s="62">
        <v>6000</v>
      </c>
      <c r="R7" s="62">
        <v>6600</v>
      </c>
      <c r="S7" s="62">
        <v>6800</v>
      </c>
      <c r="T7" s="62">
        <v>7200</v>
      </c>
      <c r="U7" s="62">
        <v>7600</v>
      </c>
      <c r="V7" s="62">
        <v>8200</v>
      </c>
      <c r="W7" s="62">
        <v>8700</v>
      </c>
      <c r="X7" s="62">
        <v>8900</v>
      </c>
      <c r="Y7" s="62">
        <v>9500</v>
      </c>
      <c r="Z7" s="62">
        <v>10000</v>
      </c>
      <c r="AA7" s="235"/>
    </row>
    <row r="8" spans="1:27" s="176" customFormat="1" ht="21.95" customHeight="1">
      <c r="A8" s="235"/>
      <c r="B8" s="62" t="s">
        <v>33</v>
      </c>
      <c r="C8" s="174">
        <v>2</v>
      </c>
      <c r="D8" s="174">
        <v>3</v>
      </c>
      <c r="E8" s="174">
        <v>4</v>
      </c>
      <c r="F8" s="174">
        <v>5</v>
      </c>
      <c r="G8" s="174">
        <v>9</v>
      </c>
      <c r="H8" s="174" t="s">
        <v>34</v>
      </c>
      <c r="I8" s="174" t="s">
        <v>35</v>
      </c>
      <c r="J8" s="174">
        <v>10</v>
      </c>
      <c r="K8" s="174" t="s">
        <v>36</v>
      </c>
      <c r="L8" s="174">
        <v>11</v>
      </c>
      <c r="M8" s="174">
        <v>12</v>
      </c>
      <c r="N8" s="174">
        <v>13</v>
      </c>
      <c r="O8" s="174">
        <v>15</v>
      </c>
      <c r="P8" s="174">
        <v>15</v>
      </c>
      <c r="Q8" s="174">
        <v>16</v>
      </c>
      <c r="R8" s="174">
        <v>17</v>
      </c>
      <c r="S8" s="174">
        <v>18</v>
      </c>
      <c r="T8" s="174">
        <v>19</v>
      </c>
      <c r="U8" s="174">
        <v>20</v>
      </c>
      <c r="V8" s="174">
        <v>21</v>
      </c>
      <c r="W8" s="174">
        <v>22</v>
      </c>
      <c r="X8" s="174">
        <v>23</v>
      </c>
      <c r="Y8" s="174" t="s">
        <v>37</v>
      </c>
      <c r="Z8" s="174">
        <v>24</v>
      </c>
      <c r="AA8" s="235"/>
    </row>
    <row r="9" spans="1:27" s="177" customFormat="1" ht="15.75">
      <c r="A9" s="235"/>
      <c r="B9" s="62" t="s">
        <v>38</v>
      </c>
      <c r="C9" s="174" t="s">
        <v>39</v>
      </c>
      <c r="D9" s="174" t="s">
        <v>40</v>
      </c>
      <c r="E9" s="174" t="s">
        <v>41</v>
      </c>
      <c r="F9" s="174" t="s">
        <v>42</v>
      </c>
      <c r="G9" s="174" t="s">
        <v>43</v>
      </c>
      <c r="H9" s="174" t="s">
        <v>44</v>
      </c>
      <c r="I9" s="174" t="s">
        <v>45</v>
      </c>
      <c r="J9" s="174" t="s">
        <v>46</v>
      </c>
      <c r="K9" s="174" t="s">
        <v>47</v>
      </c>
      <c r="L9" s="174" t="s">
        <v>48</v>
      </c>
      <c r="M9" s="174" t="s">
        <v>49</v>
      </c>
      <c r="N9" s="174" t="s">
        <v>50</v>
      </c>
      <c r="O9" s="174" t="s">
        <v>51</v>
      </c>
      <c r="P9" s="174" t="s">
        <v>52</v>
      </c>
      <c r="Q9" s="174" t="s">
        <v>53</v>
      </c>
      <c r="R9" s="174" t="s">
        <v>54</v>
      </c>
      <c r="S9" s="174" t="s">
        <v>55</v>
      </c>
      <c r="T9" s="174" t="s">
        <v>56</v>
      </c>
      <c r="U9" s="174" t="s">
        <v>57</v>
      </c>
      <c r="V9" s="174" t="s">
        <v>58</v>
      </c>
      <c r="W9" s="174" t="s">
        <v>59</v>
      </c>
      <c r="X9" s="174" t="s">
        <v>60</v>
      </c>
      <c r="Y9" s="174" t="s">
        <v>61</v>
      </c>
      <c r="Z9" s="174" t="s">
        <v>62</v>
      </c>
      <c r="AA9" s="235"/>
    </row>
    <row r="10" spans="1:27" s="177" customFormat="1">
      <c r="A10" s="235"/>
      <c r="B10" s="62" t="s">
        <v>29</v>
      </c>
      <c r="C10" s="63">
        <v>1</v>
      </c>
      <c r="D10" s="64">
        <v>2</v>
      </c>
      <c r="E10" s="63">
        <v>3</v>
      </c>
      <c r="F10" s="64">
        <v>4</v>
      </c>
      <c r="G10" s="63">
        <v>5</v>
      </c>
      <c r="H10" s="64">
        <v>6</v>
      </c>
      <c r="I10" s="63">
        <v>7</v>
      </c>
      <c r="J10" s="64">
        <v>8</v>
      </c>
      <c r="K10" s="63">
        <v>9</v>
      </c>
      <c r="L10" s="64">
        <v>10</v>
      </c>
      <c r="M10" s="63">
        <v>11</v>
      </c>
      <c r="N10" s="64">
        <v>12</v>
      </c>
      <c r="O10" s="63">
        <v>13</v>
      </c>
      <c r="P10" s="64">
        <v>14</v>
      </c>
      <c r="Q10" s="63">
        <v>15</v>
      </c>
      <c r="R10" s="64">
        <v>16</v>
      </c>
      <c r="S10" s="63">
        <v>17</v>
      </c>
      <c r="T10" s="64">
        <v>18</v>
      </c>
      <c r="U10" s="63">
        <v>19</v>
      </c>
      <c r="V10" s="64">
        <v>20</v>
      </c>
      <c r="W10" s="63">
        <v>21</v>
      </c>
      <c r="X10" s="64">
        <v>22</v>
      </c>
      <c r="Y10" s="65">
        <v>23</v>
      </c>
      <c r="Z10" s="65">
        <v>24</v>
      </c>
      <c r="AA10" s="235"/>
    </row>
    <row r="11" spans="1:27" s="176" customFormat="1" ht="15.75">
      <c r="A11" s="235"/>
      <c r="B11" s="174">
        <v>1</v>
      </c>
      <c r="C11" s="178">
        <v>17700</v>
      </c>
      <c r="D11" s="178">
        <v>17900</v>
      </c>
      <c r="E11" s="178">
        <v>18200</v>
      </c>
      <c r="F11" s="178">
        <v>19200</v>
      </c>
      <c r="G11" s="178">
        <v>20800</v>
      </c>
      <c r="H11" s="178">
        <v>21500</v>
      </c>
      <c r="I11" s="178">
        <v>22400</v>
      </c>
      <c r="J11" s="178">
        <v>26300</v>
      </c>
      <c r="K11" s="178">
        <v>28700</v>
      </c>
      <c r="L11" s="178">
        <v>33800</v>
      </c>
      <c r="M11" s="178">
        <v>37800</v>
      </c>
      <c r="N11" s="178">
        <v>44300</v>
      </c>
      <c r="O11" s="178">
        <v>53100</v>
      </c>
      <c r="P11" s="178">
        <v>56100</v>
      </c>
      <c r="Q11" s="178">
        <v>60700</v>
      </c>
      <c r="R11" s="178">
        <v>67300</v>
      </c>
      <c r="S11" s="178">
        <v>71000</v>
      </c>
      <c r="T11" s="178">
        <v>75300</v>
      </c>
      <c r="U11" s="178">
        <v>79900</v>
      </c>
      <c r="V11" s="178">
        <v>88900</v>
      </c>
      <c r="W11" s="178">
        <v>123100</v>
      </c>
      <c r="X11" s="178">
        <v>129700</v>
      </c>
      <c r="Y11" s="178">
        <v>145800</v>
      </c>
      <c r="Z11" s="178">
        <v>148800</v>
      </c>
      <c r="AA11" s="235"/>
    </row>
    <row r="12" spans="1:27" s="176" customFormat="1" ht="15.75">
      <c r="A12" s="235"/>
      <c r="B12" s="174">
        <v>2</v>
      </c>
      <c r="C12" s="178">
        <f>MROUND(C11*1.03,100)</f>
        <v>18200</v>
      </c>
      <c r="D12" s="178">
        <f>MROUND(D11*1.03,100)</f>
        <v>18400</v>
      </c>
      <c r="E12" s="178">
        <f t="shared" ref="E12:Z27" si="0">MROUND(E11*1.03,100)</f>
        <v>18700</v>
      </c>
      <c r="F12" s="178">
        <f t="shared" si="0"/>
        <v>19800</v>
      </c>
      <c r="G12" s="178">
        <f t="shared" si="0"/>
        <v>21400</v>
      </c>
      <c r="H12" s="178">
        <f t="shared" si="0"/>
        <v>22100</v>
      </c>
      <c r="I12" s="178">
        <f t="shared" si="0"/>
        <v>23100</v>
      </c>
      <c r="J12" s="178">
        <f t="shared" si="0"/>
        <v>27100</v>
      </c>
      <c r="K12" s="178">
        <f t="shared" si="0"/>
        <v>29600</v>
      </c>
      <c r="L12" s="178">
        <f t="shared" si="0"/>
        <v>34800</v>
      </c>
      <c r="M12" s="178">
        <f t="shared" si="0"/>
        <v>38900</v>
      </c>
      <c r="N12" s="178">
        <f t="shared" si="0"/>
        <v>45600</v>
      </c>
      <c r="O12" s="178">
        <f t="shared" si="0"/>
        <v>54700</v>
      </c>
      <c r="P12" s="178">
        <f t="shared" si="0"/>
        <v>57800</v>
      </c>
      <c r="Q12" s="178">
        <f t="shared" si="0"/>
        <v>62500</v>
      </c>
      <c r="R12" s="178">
        <f t="shared" si="0"/>
        <v>69300</v>
      </c>
      <c r="S12" s="178">
        <f t="shared" si="0"/>
        <v>73100</v>
      </c>
      <c r="T12" s="178">
        <f t="shared" si="0"/>
        <v>77600</v>
      </c>
      <c r="U12" s="178">
        <f t="shared" si="0"/>
        <v>82300</v>
      </c>
      <c r="V12" s="178">
        <f t="shared" si="0"/>
        <v>91600</v>
      </c>
      <c r="W12" s="178">
        <f t="shared" si="0"/>
        <v>126800</v>
      </c>
      <c r="X12" s="178">
        <f t="shared" si="0"/>
        <v>133600</v>
      </c>
      <c r="Y12" s="178">
        <f t="shared" si="0"/>
        <v>150200</v>
      </c>
      <c r="Z12" s="178">
        <f t="shared" si="0"/>
        <v>153300</v>
      </c>
      <c r="AA12" s="235"/>
    </row>
    <row r="13" spans="1:27" s="176" customFormat="1" ht="15.75">
      <c r="A13" s="235"/>
      <c r="B13" s="174">
        <v>3</v>
      </c>
      <c r="C13" s="178">
        <f t="shared" ref="C13:C50" si="1">MROUND(C12*1.03,100)</f>
        <v>18700</v>
      </c>
      <c r="D13" s="178">
        <f t="shared" ref="D13:D50" si="2">MROUND(D12*1.03,100)</f>
        <v>19000</v>
      </c>
      <c r="E13" s="178">
        <f t="shared" ref="E13:E50" si="3">MROUND(E12*1.03,100)</f>
        <v>19300</v>
      </c>
      <c r="F13" s="178">
        <f t="shared" ref="F13:F50" si="4">MROUND(F12*1.03,100)</f>
        <v>20400</v>
      </c>
      <c r="G13" s="178">
        <f t="shared" ref="G13:G50" si="5">MROUND(G12*1.03,100)</f>
        <v>22000</v>
      </c>
      <c r="H13" s="178">
        <f t="shared" ref="H13:H50" si="6">MROUND(H12*1.03,100)</f>
        <v>22800</v>
      </c>
      <c r="I13" s="178">
        <f t="shared" ref="I13:I50" si="7">MROUND(I12*1.03,100)</f>
        <v>23800</v>
      </c>
      <c r="J13" s="178">
        <f t="shared" ref="J13:J50" si="8">MROUND(J12*1.03,100)</f>
        <v>27900</v>
      </c>
      <c r="K13" s="178">
        <f t="shared" ref="K13:K50" si="9">MROUND(K12*1.03,100)</f>
        <v>30500</v>
      </c>
      <c r="L13" s="178">
        <f t="shared" ref="L13:L50" si="10">MROUND(L12*1.03,100)</f>
        <v>35800</v>
      </c>
      <c r="M13" s="178">
        <f t="shared" ref="M13:M50" si="11">MROUND(M12*1.03,100)</f>
        <v>40100</v>
      </c>
      <c r="N13" s="178">
        <f t="shared" ref="N13:N50" si="12">MROUND(N12*1.03,100)</f>
        <v>47000</v>
      </c>
      <c r="O13" s="178">
        <f t="shared" ref="O13:O50" si="13">MROUND(O12*1.03,100)</f>
        <v>56300</v>
      </c>
      <c r="P13" s="178">
        <f t="shared" ref="P13:P50" si="14">MROUND(P12*1.03,100)</f>
        <v>59500</v>
      </c>
      <c r="Q13" s="178">
        <f t="shared" ref="Q13:Q50" si="15">MROUND(Q12*1.03,100)</f>
        <v>64400</v>
      </c>
      <c r="R13" s="178">
        <f t="shared" ref="R13:R47" si="16">MROUND(R12*1.03,100)</f>
        <v>71400</v>
      </c>
      <c r="S13" s="178">
        <f t="shared" ref="S13:S46" si="17">MROUND(S12*1.03,100)</f>
        <v>75300</v>
      </c>
      <c r="T13" s="178">
        <f t="shared" ref="T13:T44" si="18">MROUND(T12*1.03,100)</f>
        <v>79900</v>
      </c>
      <c r="U13" s="178">
        <f t="shared" ref="U13:U42" si="19">MROUND(U12*1.03,100)</f>
        <v>84800</v>
      </c>
      <c r="V13" s="178">
        <f t="shared" ref="V13:W39" si="20">MROUND(V12*1.03,100)</f>
        <v>94300</v>
      </c>
      <c r="W13" s="178">
        <f t="shared" si="0"/>
        <v>130600</v>
      </c>
      <c r="X13" s="178">
        <f t="shared" si="0"/>
        <v>137600</v>
      </c>
      <c r="Y13" s="178">
        <f t="shared" ref="Y13:Y24" si="21">MROUND(Y12*1.03,100)</f>
        <v>154700</v>
      </c>
      <c r="Z13" s="178">
        <f t="shared" ref="Z13:Z24" si="22">MROUND(Z12*1.03,100)</f>
        <v>157900</v>
      </c>
      <c r="AA13" s="235"/>
    </row>
    <row r="14" spans="1:27" s="176" customFormat="1" ht="15.75">
      <c r="A14" s="235"/>
      <c r="B14" s="174">
        <v>4</v>
      </c>
      <c r="C14" s="178">
        <f t="shared" si="1"/>
        <v>19300</v>
      </c>
      <c r="D14" s="178">
        <f t="shared" si="2"/>
        <v>19600</v>
      </c>
      <c r="E14" s="178">
        <f t="shared" si="3"/>
        <v>19900</v>
      </c>
      <c r="F14" s="178">
        <f t="shared" si="4"/>
        <v>21000</v>
      </c>
      <c r="G14" s="178">
        <f t="shared" si="5"/>
        <v>22700</v>
      </c>
      <c r="H14" s="178">
        <f t="shared" si="6"/>
        <v>23500</v>
      </c>
      <c r="I14" s="178">
        <f t="shared" si="7"/>
        <v>24500</v>
      </c>
      <c r="J14" s="178">
        <f t="shared" si="8"/>
        <v>28700</v>
      </c>
      <c r="K14" s="178">
        <f t="shared" si="9"/>
        <v>31400</v>
      </c>
      <c r="L14" s="178">
        <f t="shared" si="10"/>
        <v>36900</v>
      </c>
      <c r="M14" s="178">
        <f t="shared" si="11"/>
        <v>41300</v>
      </c>
      <c r="N14" s="178">
        <f t="shared" si="12"/>
        <v>48400</v>
      </c>
      <c r="O14" s="178">
        <f t="shared" si="13"/>
        <v>58000</v>
      </c>
      <c r="P14" s="178">
        <f t="shared" si="14"/>
        <v>61300</v>
      </c>
      <c r="Q14" s="178">
        <f t="shared" si="15"/>
        <v>66300</v>
      </c>
      <c r="R14" s="178">
        <f t="shared" si="16"/>
        <v>73500</v>
      </c>
      <c r="S14" s="178">
        <f t="shared" si="17"/>
        <v>77600</v>
      </c>
      <c r="T14" s="178">
        <f t="shared" si="18"/>
        <v>82300</v>
      </c>
      <c r="U14" s="178">
        <f t="shared" si="19"/>
        <v>87300</v>
      </c>
      <c r="V14" s="178">
        <f t="shared" si="20"/>
        <v>97100</v>
      </c>
      <c r="W14" s="178">
        <f t="shared" si="0"/>
        <v>134500</v>
      </c>
      <c r="X14" s="178">
        <f t="shared" si="0"/>
        <v>141700</v>
      </c>
      <c r="Y14" s="178">
        <f t="shared" si="21"/>
        <v>159300</v>
      </c>
      <c r="Z14" s="178">
        <f t="shared" si="22"/>
        <v>162600</v>
      </c>
      <c r="AA14" s="235"/>
    </row>
    <row r="15" spans="1:27" s="176" customFormat="1" ht="15.75">
      <c r="A15" s="235"/>
      <c r="B15" s="174">
        <v>5</v>
      </c>
      <c r="C15" s="178">
        <f t="shared" si="1"/>
        <v>19900</v>
      </c>
      <c r="D15" s="178">
        <f t="shared" si="2"/>
        <v>20200</v>
      </c>
      <c r="E15" s="178">
        <f t="shared" si="3"/>
        <v>20500</v>
      </c>
      <c r="F15" s="178">
        <f t="shared" si="4"/>
        <v>21600</v>
      </c>
      <c r="G15" s="178">
        <f t="shared" si="5"/>
        <v>23400</v>
      </c>
      <c r="H15" s="178">
        <f t="shared" si="6"/>
        <v>24200</v>
      </c>
      <c r="I15" s="178">
        <f t="shared" si="7"/>
        <v>25200</v>
      </c>
      <c r="J15" s="178">
        <f t="shared" si="8"/>
        <v>29600</v>
      </c>
      <c r="K15" s="178">
        <f t="shared" si="9"/>
        <v>32300</v>
      </c>
      <c r="L15" s="178">
        <f t="shared" si="10"/>
        <v>38000</v>
      </c>
      <c r="M15" s="178">
        <f t="shared" si="11"/>
        <v>42500</v>
      </c>
      <c r="N15" s="178">
        <f t="shared" si="12"/>
        <v>49900</v>
      </c>
      <c r="O15" s="178">
        <f t="shared" si="13"/>
        <v>59700</v>
      </c>
      <c r="P15" s="178">
        <f t="shared" si="14"/>
        <v>63100</v>
      </c>
      <c r="Q15" s="178">
        <f t="shared" si="15"/>
        <v>68300</v>
      </c>
      <c r="R15" s="178">
        <f t="shared" si="16"/>
        <v>75700</v>
      </c>
      <c r="S15" s="178">
        <f t="shared" si="17"/>
        <v>79900</v>
      </c>
      <c r="T15" s="178">
        <f t="shared" si="18"/>
        <v>84800</v>
      </c>
      <c r="U15" s="178">
        <f t="shared" si="19"/>
        <v>89900</v>
      </c>
      <c r="V15" s="178">
        <f t="shared" si="20"/>
        <v>100000</v>
      </c>
      <c r="W15" s="178">
        <f t="shared" si="0"/>
        <v>138500</v>
      </c>
      <c r="X15" s="178">
        <f t="shared" si="0"/>
        <v>146000</v>
      </c>
      <c r="Y15" s="178">
        <f t="shared" si="21"/>
        <v>164100</v>
      </c>
      <c r="Z15" s="178">
        <f t="shared" si="22"/>
        <v>167500</v>
      </c>
      <c r="AA15" s="235"/>
    </row>
    <row r="16" spans="1:27" s="176" customFormat="1" ht="15.75">
      <c r="A16" s="235"/>
      <c r="B16" s="174">
        <v>6</v>
      </c>
      <c r="C16" s="178">
        <f t="shared" si="1"/>
        <v>20500</v>
      </c>
      <c r="D16" s="178">
        <f t="shared" si="2"/>
        <v>20800</v>
      </c>
      <c r="E16" s="178">
        <f t="shared" si="3"/>
        <v>21100</v>
      </c>
      <c r="F16" s="178">
        <f t="shared" si="4"/>
        <v>22200</v>
      </c>
      <c r="G16" s="178">
        <f t="shared" si="5"/>
        <v>24100</v>
      </c>
      <c r="H16" s="178">
        <f t="shared" si="6"/>
        <v>24900</v>
      </c>
      <c r="I16" s="178">
        <f t="shared" si="7"/>
        <v>26000</v>
      </c>
      <c r="J16" s="178">
        <f t="shared" si="8"/>
        <v>30500</v>
      </c>
      <c r="K16" s="178">
        <f t="shared" si="9"/>
        <v>33300</v>
      </c>
      <c r="L16" s="178">
        <f t="shared" si="10"/>
        <v>39100</v>
      </c>
      <c r="M16" s="178">
        <f t="shared" si="11"/>
        <v>43800</v>
      </c>
      <c r="N16" s="178">
        <f t="shared" si="12"/>
        <v>51400</v>
      </c>
      <c r="O16" s="178">
        <f t="shared" si="13"/>
        <v>61500</v>
      </c>
      <c r="P16" s="178">
        <f t="shared" si="14"/>
        <v>65000</v>
      </c>
      <c r="Q16" s="178">
        <f t="shared" si="15"/>
        <v>70300</v>
      </c>
      <c r="R16" s="178">
        <f t="shared" si="16"/>
        <v>78000</v>
      </c>
      <c r="S16" s="178">
        <f t="shared" si="17"/>
        <v>82300</v>
      </c>
      <c r="T16" s="178">
        <f t="shared" si="18"/>
        <v>87300</v>
      </c>
      <c r="U16" s="178">
        <f t="shared" si="19"/>
        <v>92600</v>
      </c>
      <c r="V16" s="178">
        <f t="shared" si="20"/>
        <v>103000</v>
      </c>
      <c r="W16" s="178">
        <f t="shared" si="0"/>
        <v>142700</v>
      </c>
      <c r="X16" s="178">
        <f t="shared" si="0"/>
        <v>150400</v>
      </c>
      <c r="Y16" s="178">
        <f t="shared" si="21"/>
        <v>169000</v>
      </c>
      <c r="Z16" s="178">
        <f t="shared" si="22"/>
        <v>172500</v>
      </c>
      <c r="AA16" s="235"/>
    </row>
    <row r="17" spans="1:27" s="176" customFormat="1" ht="15.75">
      <c r="A17" s="235"/>
      <c r="B17" s="174">
        <v>7</v>
      </c>
      <c r="C17" s="178">
        <f t="shared" si="1"/>
        <v>21100</v>
      </c>
      <c r="D17" s="178">
        <f t="shared" si="2"/>
        <v>21400</v>
      </c>
      <c r="E17" s="178">
        <f t="shared" si="3"/>
        <v>21700</v>
      </c>
      <c r="F17" s="178">
        <f t="shared" si="4"/>
        <v>22900</v>
      </c>
      <c r="G17" s="178">
        <f t="shared" si="5"/>
        <v>24800</v>
      </c>
      <c r="H17" s="178">
        <f t="shared" si="6"/>
        <v>25600</v>
      </c>
      <c r="I17" s="178">
        <f t="shared" si="7"/>
        <v>26800</v>
      </c>
      <c r="J17" s="178">
        <f t="shared" si="8"/>
        <v>31400</v>
      </c>
      <c r="K17" s="178">
        <f t="shared" si="9"/>
        <v>34300</v>
      </c>
      <c r="L17" s="178">
        <f t="shared" si="10"/>
        <v>40300</v>
      </c>
      <c r="M17" s="178">
        <f t="shared" si="11"/>
        <v>45100</v>
      </c>
      <c r="N17" s="178">
        <f t="shared" si="12"/>
        <v>52900</v>
      </c>
      <c r="O17" s="178">
        <f t="shared" si="13"/>
        <v>63300</v>
      </c>
      <c r="P17" s="178">
        <f t="shared" si="14"/>
        <v>67000</v>
      </c>
      <c r="Q17" s="178">
        <f t="shared" si="15"/>
        <v>72400</v>
      </c>
      <c r="R17" s="178">
        <f t="shared" si="16"/>
        <v>80300</v>
      </c>
      <c r="S17" s="178">
        <f t="shared" si="17"/>
        <v>84800</v>
      </c>
      <c r="T17" s="178">
        <f t="shared" si="18"/>
        <v>89900</v>
      </c>
      <c r="U17" s="178">
        <f t="shared" si="19"/>
        <v>95400</v>
      </c>
      <c r="V17" s="178">
        <f t="shared" si="20"/>
        <v>106100</v>
      </c>
      <c r="W17" s="178">
        <f t="shared" si="0"/>
        <v>147000</v>
      </c>
      <c r="X17" s="178">
        <f t="shared" si="0"/>
        <v>154900</v>
      </c>
      <c r="Y17" s="178">
        <f t="shared" si="21"/>
        <v>174100</v>
      </c>
      <c r="Z17" s="178">
        <f t="shared" si="22"/>
        <v>177700</v>
      </c>
      <c r="AA17" s="235"/>
    </row>
    <row r="18" spans="1:27" s="176" customFormat="1" ht="15.75">
      <c r="A18" s="235"/>
      <c r="B18" s="174">
        <v>8</v>
      </c>
      <c r="C18" s="178">
        <f t="shared" si="1"/>
        <v>21700</v>
      </c>
      <c r="D18" s="178">
        <f t="shared" si="2"/>
        <v>22000</v>
      </c>
      <c r="E18" s="178">
        <f t="shared" si="3"/>
        <v>22400</v>
      </c>
      <c r="F18" s="178">
        <f t="shared" si="4"/>
        <v>23600</v>
      </c>
      <c r="G18" s="178">
        <f t="shared" si="5"/>
        <v>25500</v>
      </c>
      <c r="H18" s="178">
        <f t="shared" si="6"/>
        <v>26400</v>
      </c>
      <c r="I18" s="178">
        <f t="shared" si="7"/>
        <v>27600</v>
      </c>
      <c r="J18" s="178">
        <f t="shared" si="8"/>
        <v>32300</v>
      </c>
      <c r="K18" s="178">
        <f t="shared" si="9"/>
        <v>35300</v>
      </c>
      <c r="L18" s="178">
        <f t="shared" si="10"/>
        <v>41500</v>
      </c>
      <c r="M18" s="178">
        <f t="shared" si="11"/>
        <v>46500</v>
      </c>
      <c r="N18" s="178">
        <f t="shared" si="12"/>
        <v>54500</v>
      </c>
      <c r="O18" s="178">
        <f t="shared" si="13"/>
        <v>65200</v>
      </c>
      <c r="P18" s="178">
        <f t="shared" si="14"/>
        <v>69000</v>
      </c>
      <c r="Q18" s="178">
        <f t="shared" si="15"/>
        <v>74600</v>
      </c>
      <c r="R18" s="178">
        <f t="shared" si="16"/>
        <v>82700</v>
      </c>
      <c r="S18" s="178">
        <f t="shared" si="17"/>
        <v>87300</v>
      </c>
      <c r="T18" s="178">
        <f t="shared" si="18"/>
        <v>92600</v>
      </c>
      <c r="U18" s="178">
        <f t="shared" si="19"/>
        <v>98300</v>
      </c>
      <c r="V18" s="178">
        <f t="shared" si="20"/>
        <v>109300</v>
      </c>
      <c r="W18" s="178">
        <f t="shared" si="0"/>
        <v>151400</v>
      </c>
      <c r="X18" s="178">
        <f t="shared" si="0"/>
        <v>159500</v>
      </c>
      <c r="Y18" s="178">
        <f t="shared" si="21"/>
        <v>179300</v>
      </c>
      <c r="Z18" s="178">
        <f t="shared" si="22"/>
        <v>183000</v>
      </c>
      <c r="AA18" s="235"/>
    </row>
    <row r="19" spans="1:27" s="176" customFormat="1" ht="15.75">
      <c r="A19" s="235"/>
      <c r="B19" s="174">
        <v>9</v>
      </c>
      <c r="C19" s="178">
        <f t="shared" si="1"/>
        <v>22400</v>
      </c>
      <c r="D19" s="178">
        <f t="shared" si="2"/>
        <v>22700</v>
      </c>
      <c r="E19" s="178">
        <f t="shared" si="3"/>
        <v>23100</v>
      </c>
      <c r="F19" s="178">
        <f t="shared" si="4"/>
        <v>24300</v>
      </c>
      <c r="G19" s="178">
        <f t="shared" si="5"/>
        <v>26300</v>
      </c>
      <c r="H19" s="178">
        <f t="shared" si="6"/>
        <v>27200</v>
      </c>
      <c r="I19" s="178">
        <f t="shared" si="7"/>
        <v>28400</v>
      </c>
      <c r="J19" s="178">
        <f t="shared" si="8"/>
        <v>33300</v>
      </c>
      <c r="K19" s="178">
        <f t="shared" si="9"/>
        <v>36400</v>
      </c>
      <c r="L19" s="178">
        <f t="shared" si="10"/>
        <v>42700</v>
      </c>
      <c r="M19" s="178">
        <f t="shared" si="11"/>
        <v>47900</v>
      </c>
      <c r="N19" s="178">
        <f t="shared" si="12"/>
        <v>56100</v>
      </c>
      <c r="O19" s="178">
        <f t="shared" si="13"/>
        <v>67200</v>
      </c>
      <c r="P19" s="178">
        <f t="shared" si="14"/>
        <v>71100</v>
      </c>
      <c r="Q19" s="178">
        <f t="shared" si="15"/>
        <v>76800</v>
      </c>
      <c r="R19" s="178">
        <f t="shared" si="16"/>
        <v>85200</v>
      </c>
      <c r="S19" s="178">
        <f t="shared" si="17"/>
        <v>89900</v>
      </c>
      <c r="T19" s="178">
        <f t="shared" si="18"/>
        <v>95400</v>
      </c>
      <c r="U19" s="178">
        <f t="shared" si="19"/>
        <v>101200</v>
      </c>
      <c r="V19" s="178">
        <f t="shared" si="20"/>
        <v>112600</v>
      </c>
      <c r="W19" s="178">
        <f t="shared" si="0"/>
        <v>155900</v>
      </c>
      <c r="X19" s="178">
        <f t="shared" si="0"/>
        <v>164300</v>
      </c>
      <c r="Y19" s="178">
        <f t="shared" si="21"/>
        <v>184700</v>
      </c>
      <c r="Z19" s="178">
        <f t="shared" si="22"/>
        <v>188500</v>
      </c>
      <c r="AA19" s="235"/>
    </row>
    <row r="20" spans="1:27" s="176" customFormat="1" ht="15.75">
      <c r="A20" s="235"/>
      <c r="B20" s="174">
        <v>10</v>
      </c>
      <c r="C20" s="178">
        <f t="shared" si="1"/>
        <v>23100</v>
      </c>
      <c r="D20" s="178">
        <f t="shared" si="2"/>
        <v>23400</v>
      </c>
      <c r="E20" s="178">
        <f t="shared" si="3"/>
        <v>23800</v>
      </c>
      <c r="F20" s="178">
        <f t="shared" si="4"/>
        <v>25000</v>
      </c>
      <c r="G20" s="178">
        <f t="shared" si="5"/>
        <v>27100</v>
      </c>
      <c r="H20" s="178">
        <f t="shared" si="6"/>
        <v>28000</v>
      </c>
      <c r="I20" s="178">
        <f t="shared" si="7"/>
        <v>29300</v>
      </c>
      <c r="J20" s="178">
        <f t="shared" si="8"/>
        <v>34300</v>
      </c>
      <c r="K20" s="178">
        <f t="shared" si="9"/>
        <v>37500</v>
      </c>
      <c r="L20" s="178">
        <f t="shared" si="10"/>
        <v>44000</v>
      </c>
      <c r="M20" s="178">
        <f t="shared" si="11"/>
        <v>49300</v>
      </c>
      <c r="N20" s="178">
        <f t="shared" si="12"/>
        <v>57800</v>
      </c>
      <c r="O20" s="178">
        <f t="shared" si="13"/>
        <v>69200</v>
      </c>
      <c r="P20" s="178">
        <f t="shared" si="14"/>
        <v>73200</v>
      </c>
      <c r="Q20" s="178">
        <f t="shared" si="15"/>
        <v>79100</v>
      </c>
      <c r="R20" s="178">
        <f t="shared" si="16"/>
        <v>87800</v>
      </c>
      <c r="S20" s="178">
        <f t="shared" si="17"/>
        <v>92600</v>
      </c>
      <c r="T20" s="178">
        <f t="shared" si="18"/>
        <v>98300</v>
      </c>
      <c r="U20" s="178">
        <f t="shared" si="19"/>
        <v>104200</v>
      </c>
      <c r="V20" s="178">
        <f t="shared" si="20"/>
        <v>116000</v>
      </c>
      <c r="W20" s="178">
        <f t="shared" si="0"/>
        <v>160600</v>
      </c>
      <c r="X20" s="178">
        <f t="shared" si="0"/>
        <v>169200</v>
      </c>
      <c r="Y20" s="178">
        <f t="shared" si="21"/>
        <v>190200</v>
      </c>
      <c r="Z20" s="178">
        <f t="shared" si="22"/>
        <v>194200</v>
      </c>
      <c r="AA20" s="235"/>
    </row>
    <row r="21" spans="1:27" s="176" customFormat="1" ht="15.75">
      <c r="A21" s="235"/>
      <c r="B21" s="174">
        <v>11</v>
      </c>
      <c r="C21" s="178">
        <f t="shared" si="1"/>
        <v>23800</v>
      </c>
      <c r="D21" s="178">
        <f t="shared" si="2"/>
        <v>24100</v>
      </c>
      <c r="E21" s="178">
        <f t="shared" si="3"/>
        <v>24500</v>
      </c>
      <c r="F21" s="178">
        <f t="shared" si="4"/>
        <v>25800</v>
      </c>
      <c r="G21" s="178">
        <f t="shared" si="5"/>
        <v>27900</v>
      </c>
      <c r="H21" s="178">
        <f t="shared" si="6"/>
        <v>28800</v>
      </c>
      <c r="I21" s="178">
        <f t="shared" si="7"/>
        <v>30200</v>
      </c>
      <c r="J21" s="178">
        <f t="shared" si="8"/>
        <v>35300</v>
      </c>
      <c r="K21" s="178">
        <f t="shared" si="9"/>
        <v>38600</v>
      </c>
      <c r="L21" s="178">
        <f t="shared" si="10"/>
        <v>45300</v>
      </c>
      <c r="M21" s="178">
        <f t="shared" si="11"/>
        <v>50800</v>
      </c>
      <c r="N21" s="178">
        <f t="shared" si="12"/>
        <v>59500</v>
      </c>
      <c r="O21" s="178">
        <f t="shared" si="13"/>
        <v>71300</v>
      </c>
      <c r="P21" s="178">
        <f t="shared" si="14"/>
        <v>75400</v>
      </c>
      <c r="Q21" s="178">
        <f t="shared" si="15"/>
        <v>81500</v>
      </c>
      <c r="R21" s="178">
        <f t="shared" si="16"/>
        <v>90400</v>
      </c>
      <c r="S21" s="178">
        <f t="shared" si="17"/>
        <v>95400</v>
      </c>
      <c r="T21" s="178">
        <f t="shared" si="18"/>
        <v>101200</v>
      </c>
      <c r="U21" s="178">
        <f t="shared" si="19"/>
        <v>107300</v>
      </c>
      <c r="V21" s="178">
        <f t="shared" si="20"/>
        <v>119500</v>
      </c>
      <c r="W21" s="178">
        <f t="shared" si="0"/>
        <v>165400</v>
      </c>
      <c r="X21" s="178">
        <f t="shared" si="0"/>
        <v>174300</v>
      </c>
      <c r="Y21" s="178">
        <f t="shared" si="21"/>
        <v>195900</v>
      </c>
      <c r="Z21" s="178">
        <f t="shared" si="22"/>
        <v>200000</v>
      </c>
      <c r="AA21" s="235"/>
    </row>
    <row r="22" spans="1:27" s="176" customFormat="1" ht="15.75">
      <c r="A22" s="235"/>
      <c r="B22" s="174">
        <v>12</v>
      </c>
      <c r="C22" s="178">
        <f t="shared" si="1"/>
        <v>24500</v>
      </c>
      <c r="D22" s="178">
        <f t="shared" si="2"/>
        <v>24800</v>
      </c>
      <c r="E22" s="178">
        <f t="shared" si="3"/>
        <v>25200</v>
      </c>
      <c r="F22" s="178">
        <f t="shared" si="4"/>
        <v>26600</v>
      </c>
      <c r="G22" s="178">
        <f t="shared" si="5"/>
        <v>28700</v>
      </c>
      <c r="H22" s="178">
        <f t="shared" si="6"/>
        <v>29700</v>
      </c>
      <c r="I22" s="178">
        <f t="shared" si="7"/>
        <v>31100</v>
      </c>
      <c r="J22" s="178">
        <f t="shared" si="8"/>
        <v>36400</v>
      </c>
      <c r="K22" s="178">
        <f t="shared" si="9"/>
        <v>39800</v>
      </c>
      <c r="L22" s="178">
        <f t="shared" si="10"/>
        <v>46700</v>
      </c>
      <c r="M22" s="178">
        <f t="shared" si="11"/>
        <v>52300</v>
      </c>
      <c r="N22" s="178">
        <f t="shared" si="12"/>
        <v>61300</v>
      </c>
      <c r="O22" s="178">
        <f t="shared" si="13"/>
        <v>73400</v>
      </c>
      <c r="P22" s="178">
        <f t="shared" si="14"/>
        <v>77700</v>
      </c>
      <c r="Q22" s="178">
        <f t="shared" si="15"/>
        <v>83900</v>
      </c>
      <c r="R22" s="178">
        <f t="shared" si="16"/>
        <v>93100</v>
      </c>
      <c r="S22" s="178">
        <f t="shared" si="17"/>
        <v>98300</v>
      </c>
      <c r="T22" s="178">
        <f t="shared" si="18"/>
        <v>104200</v>
      </c>
      <c r="U22" s="178">
        <f t="shared" si="19"/>
        <v>110500</v>
      </c>
      <c r="V22" s="178">
        <f t="shared" si="20"/>
        <v>123100</v>
      </c>
      <c r="W22" s="178">
        <f t="shared" si="0"/>
        <v>170400</v>
      </c>
      <c r="X22" s="178">
        <f t="shared" si="0"/>
        <v>179500</v>
      </c>
      <c r="Y22" s="178">
        <f t="shared" si="21"/>
        <v>201800</v>
      </c>
      <c r="Z22" s="178">
        <f t="shared" si="22"/>
        <v>206000</v>
      </c>
      <c r="AA22" s="235"/>
    </row>
    <row r="23" spans="1:27" s="176" customFormat="1" ht="15.75">
      <c r="A23" s="235"/>
      <c r="B23" s="174">
        <v>13</v>
      </c>
      <c r="C23" s="178">
        <f t="shared" si="1"/>
        <v>25200</v>
      </c>
      <c r="D23" s="178">
        <f t="shared" si="2"/>
        <v>25500</v>
      </c>
      <c r="E23" s="178">
        <f t="shared" si="3"/>
        <v>26000</v>
      </c>
      <c r="F23" s="178">
        <f t="shared" si="4"/>
        <v>27400</v>
      </c>
      <c r="G23" s="178">
        <f t="shared" si="5"/>
        <v>29600</v>
      </c>
      <c r="H23" s="178">
        <f t="shared" si="6"/>
        <v>30600</v>
      </c>
      <c r="I23" s="178">
        <f t="shared" si="7"/>
        <v>32000</v>
      </c>
      <c r="J23" s="178">
        <f t="shared" si="8"/>
        <v>37500</v>
      </c>
      <c r="K23" s="178">
        <f t="shared" si="9"/>
        <v>41000</v>
      </c>
      <c r="L23" s="178">
        <f t="shared" si="10"/>
        <v>48100</v>
      </c>
      <c r="M23" s="178">
        <f t="shared" si="11"/>
        <v>53900</v>
      </c>
      <c r="N23" s="178">
        <f t="shared" si="12"/>
        <v>63100</v>
      </c>
      <c r="O23" s="178">
        <f t="shared" si="13"/>
        <v>75600</v>
      </c>
      <c r="P23" s="178">
        <f t="shared" si="14"/>
        <v>80000</v>
      </c>
      <c r="Q23" s="178">
        <f t="shared" si="15"/>
        <v>86400</v>
      </c>
      <c r="R23" s="178">
        <f t="shared" si="16"/>
        <v>95900</v>
      </c>
      <c r="S23" s="178">
        <f t="shared" si="17"/>
        <v>101200</v>
      </c>
      <c r="T23" s="178">
        <f t="shared" si="18"/>
        <v>107300</v>
      </c>
      <c r="U23" s="178">
        <f t="shared" si="19"/>
        <v>113800</v>
      </c>
      <c r="V23" s="178">
        <f t="shared" si="20"/>
        <v>126800</v>
      </c>
      <c r="W23" s="178">
        <f t="shared" si="0"/>
        <v>175500</v>
      </c>
      <c r="X23" s="178">
        <f t="shared" si="0"/>
        <v>184900</v>
      </c>
      <c r="Y23" s="178">
        <f t="shared" si="21"/>
        <v>207900</v>
      </c>
      <c r="Z23" s="178">
        <f t="shared" si="22"/>
        <v>212200</v>
      </c>
      <c r="AA23" s="235"/>
    </row>
    <row r="24" spans="1:27" s="176" customFormat="1" ht="15.75">
      <c r="A24" s="235"/>
      <c r="B24" s="174">
        <v>14</v>
      </c>
      <c r="C24" s="178">
        <f t="shared" si="1"/>
        <v>26000</v>
      </c>
      <c r="D24" s="178">
        <f t="shared" si="2"/>
        <v>26300</v>
      </c>
      <c r="E24" s="178">
        <f t="shared" si="3"/>
        <v>26800</v>
      </c>
      <c r="F24" s="178">
        <f t="shared" si="4"/>
        <v>28200</v>
      </c>
      <c r="G24" s="178">
        <f t="shared" si="5"/>
        <v>30500</v>
      </c>
      <c r="H24" s="178">
        <f t="shared" si="6"/>
        <v>31500</v>
      </c>
      <c r="I24" s="178">
        <f t="shared" si="7"/>
        <v>33000</v>
      </c>
      <c r="J24" s="178">
        <f t="shared" si="8"/>
        <v>38600</v>
      </c>
      <c r="K24" s="178">
        <f t="shared" si="9"/>
        <v>42200</v>
      </c>
      <c r="L24" s="178">
        <f t="shared" si="10"/>
        <v>49500</v>
      </c>
      <c r="M24" s="178">
        <f t="shared" si="11"/>
        <v>55500</v>
      </c>
      <c r="N24" s="178">
        <f t="shared" si="12"/>
        <v>65000</v>
      </c>
      <c r="O24" s="178">
        <f t="shared" si="13"/>
        <v>77900</v>
      </c>
      <c r="P24" s="178">
        <f t="shared" si="14"/>
        <v>82400</v>
      </c>
      <c r="Q24" s="178">
        <f t="shared" si="15"/>
        <v>89000</v>
      </c>
      <c r="R24" s="178">
        <f t="shared" si="16"/>
        <v>98800</v>
      </c>
      <c r="S24" s="178">
        <f t="shared" si="17"/>
        <v>104200</v>
      </c>
      <c r="T24" s="178">
        <f t="shared" si="18"/>
        <v>110500</v>
      </c>
      <c r="U24" s="178">
        <f t="shared" si="19"/>
        <v>117200</v>
      </c>
      <c r="V24" s="178">
        <f t="shared" si="20"/>
        <v>130600</v>
      </c>
      <c r="W24" s="178">
        <f t="shared" si="0"/>
        <v>180800</v>
      </c>
      <c r="X24" s="178">
        <f t="shared" si="0"/>
        <v>190400</v>
      </c>
      <c r="Y24" s="178">
        <f t="shared" si="21"/>
        <v>214100</v>
      </c>
      <c r="Z24" s="178">
        <f t="shared" si="22"/>
        <v>218600</v>
      </c>
      <c r="AA24" s="235"/>
    </row>
    <row r="25" spans="1:27" s="176" customFormat="1" ht="15.75">
      <c r="A25" s="235"/>
      <c r="B25" s="174">
        <v>15</v>
      </c>
      <c r="C25" s="178">
        <f t="shared" si="1"/>
        <v>26800</v>
      </c>
      <c r="D25" s="178">
        <f t="shared" si="2"/>
        <v>27100</v>
      </c>
      <c r="E25" s="178">
        <f t="shared" si="3"/>
        <v>27600</v>
      </c>
      <c r="F25" s="178">
        <f t="shared" si="4"/>
        <v>29000</v>
      </c>
      <c r="G25" s="178">
        <f t="shared" si="5"/>
        <v>31400</v>
      </c>
      <c r="H25" s="178">
        <f t="shared" si="6"/>
        <v>32400</v>
      </c>
      <c r="I25" s="178">
        <f t="shared" si="7"/>
        <v>34000</v>
      </c>
      <c r="J25" s="178">
        <f t="shared" si="8"/>
        <v>39800</v>
      </c>
      <c r="K25" s="178">
        <f t="shared" si="9"/>
        <v>43500</v>
      </c>
      <c r="L25" s="178">
        <f t="shared" si="10"/>
        <v>51000</v>
      </c>
      <c r="M25" s="178">
        <f t="shared" si="11"/>
        <v>57200</v>
      </c>
      <c r="N25" s="178">
        <f t="shared" si="12"/>
        <v>67000</v>
      </c>
      <c r="O25" s="178">
        <f t="shared" si="13"/>
        <v>80200</v>
      </c>
      <c r="P25" s="178">
        <f t="shared" si="14"/>
        <v>84900</v>
      </c>
      <c r="Q25" s="178">
        <f t="shared" si="15"/>
        <v>91700</v>
      </c>
      <c r="R25" s="178">
        <f t="shared" si="16"/>
        <v>101800</v>
      </c>
      <c r="S25" s="178">
        <f t="shared" si="17"/>
        <v>107300</v>
      </c>
      <c r="T25" s="178">
        <f t="shared" si="18"/>
        <v>113800</v>
      </c>
      <c r="U25" s="178">
        <f t="shared" si="19"/>
        <v>120700</v>
      </c>
      <c r="V25" s="178">
        <f t="shared" si="20"/>
        <v>134500</v>
      </c>
      <c r="W25" s="178">
        <f t="shared" si="0"/>
        <v>186200</v>
      </c>
      <c r="X25" s="178">
        <f t="shared" si="0"/>
        <v>196100</v>
      </c>
      <c r="Y25" s="178"/>
      <c r="Z25" s="178"/>
      <c r="AA25" s="235"/>
    </row>
    <row r="26" spans="1:27" s="176" customFormat="1" ht="15.75">
      <c r="A26" s="235"/>
      <c r="B26" s="174">
        <v>16</v>
      </c>
      <c r="C26" s="178">
        <f t="shared" si="1"/>
        <v>27600</v>
      </c>
      <c r="D26" s="178">
        <f t="shared" si="2"/>
        <v>27900</v>
      </c>
      <c r="E26" s="178">
        <f t="shared" si="3"/>
        <v>28400</v>
      </c>
      <c r="F26" s="178">
        <f t="shared" si="4"/>
        <v>29900</v>
      </c>
      <c r="G26" s="178">
        <f t="shared" si="5"/>
        <v>32300</v>
      </c>
      <c r="H26" s="178">
        <f t="shared" si="6"/>
        <v>33400</v>
      </c>
      <c r="I26" s="178">
        <f t="shared" si="7"/>
        <v>35000</v>
      </c>
      <c r="J26" s="178">
        <f t="shared" si="8"/>
        <v>41000</v>
      </c>
      <c r="K26" s="178">
        <f t="shared" si="9"/>
        <v>44800</v>
      </c>
      <c r="L26" s="178">
        <f t="shared" si="10"/>
        <v>52500</v>
      </c>
      <c r="M26" s="178">
        <f t="shared" si="11"/>
        <v>58900</v>
      </c>
      <c r="N26" s="178">
        <f t="shared" si="12"/>
        <v>69000</v>
      </c>
      <c r="O26" s="178">
        <f t="shared" si="13"/>
        <v>82600</v>
      </c>
      <c r="P26" s="178">
        <f t="shared" si="14"/>
        <v>87400</v>
      </c>
      <c r="Q26" s="178">
        <f t="shared" si="15"/>
        <v>94500</v>
      </c>
      <c r="R26" s="178">
        <f t="shared" si="16"/>
        <v>104900</v>
      </c>
      <c r="S26" s="178">
        <f t="shared" si="17"/>
        <v>110500</v>
      </c>
      <c r="T26" s="178">
        <f t="shared" si="18"/>
        <v>117200</v>
      </c>
      <c r="U26" s="178">
        <f t="shared" si="19"/>
        <v>124300</v>
      </c>
      <c r="V26" s="178">
        <f t="shared" si="20"/>
        <v>138500</v>
      </c>
      <c r="W26" s="178">
        <f t="shared" si="0"/>
        <v>191800</v>
      </c>
      <c r="X26" s="178">
        <f t="shared" si="0"/>
        <v>202000</v>
      </c>
      <c r="Y26" s="178"/>
      <c r="Z26" s="178"/>
      <c r="AA26" s="235"/>
    </row>
    <row r="27" spans="1:27" s="176" customFormat="1" ht="15.75">
      <c r="A27" s="235"/>
      <c r="B27" s="174">
        <v>17</v>
      </c>
      <c r="C27" s="178">
        <f t="shared" si="1"/>
        <v>28400</v>
      </c>
      <c r="D27" s="178">
        <f t="shared" si="2"/>
        <v>28700</v>
      </c>
      <c r="E27" s="178">
        <f t="shared" si="3"/>
        <v>29300</v>
      </c>
      <c r="F27" s="178">
        <f t="shared" si="4"/>
        <v>30800</v>
      </c>
      <c r="G27" s="178">
        <f t="shared" si="5"/>
        <v>33300</v>
      </c>
      <c r="H27" s="178">
        <f t="shared" si="6"/>
        <v>34400</v>
      </c>
      <c r="I27" s="178">
        <f t="shared" si="7"/>
        <v>36100</v>
      </c>
      <c r="J27" s="178">
        <f t="shared" si="8"/>
        <v>42200</v>
      </c>
      <c r="K27" s="178">
        <f t="shared" si="9"/>
        <v>46100</v>
      </c>
      <c r="L27" s="178">
        <f t="shared" si="10"/>
        <v>54100</v>
      </c>
      <c r="M27" s="178">
        <f t="shared" si="11"/>
        <v>60700</v>
      </c>
      <c r="N27" s="178">
        <f t="shared" si="12"/>
        <v>71100</v>
      </c>
      <c r="O27" s="178">
        <f t="shared" si="13"/>
        <v>85100</v>
      </c>
      <c r="P27" s="178">
        <f t="shared" si="14"/>
        <v>90000</v>
      </c>
      <c r="Q27" s="178">
        <f t="shared" si="15"/>
        <v>97300</v>
      </c>
      <c r="R27" s="178">
        <f t="shared" si="16"/>
        <v>108000</v>
      </c>
      <c r="S27" s="178">
        <f t="shared" si="17"/>
        <v>113800</v>
      </c>
      <c r="T27" s="178">
        <f t="shared" si="18"/>
        <v>120700</v>
      </c>
      <c r="U27" s="178">
        <f t="shared" si="19"/>
        <v>128000</v>
      </c>
      <c r="V27" s="178">
        <f t="shared" si="20"/>
        <v>142700</v>
      </c>
      <c r="W27" s="178">
        <f t="shared" si="0"/>
        <v>197600</v>
      </c>
      <c r="X27" s="178">
        <f t="shared" si="0"/>
        <v>208100</v>
      </c>
      <c r="Y27" s="178"/>
      <c r="Z27" s="178"/>
      <c r="AA27" s="235"/>
    </row>
    <row r="28" spans="1:27" s="176" customFormat="1" ht="15.75">
      <c r="A28" s="235"/>
      <c r="B28" s="174">
        <v>18</v>
      </c>
      <c r="C28" s="178">
        <f t="shared" si="1"/>
        <v>29300</v>
      </c>
      <c r="D28" s="178">
        <f t="shared" si="2"/>
        <v>29600</v>
      </c>
      <c r="E28" s="178">
        <f t="shared" si="3"/>
        <v>30200</v>
      </c>
      <c r="F28" s="178">
        <f t="shared" si="4"/>
        <v>31700</v>
      </c>
      <c r="G28" s="178">
        <f t="shared" si="5"/>
        <v>34300</v>
      </c>
      <c r="H28" s="178">
        <f t="shared" si="6"/>
        <v>35400</v>
      </c>
      <c r="I28" s="178">
        <f t="shared" si="7"/>
        <v>37200</v>
      </c>
      <c r="J28" s="178">
        <f t="shared" si="8"/>
        <v>43500</v>
      </c>
      <c r="K28" s="178">
        <f t="shared" si="9"/>
        <v>47500</v>
      </c>
      <c r="L28" s="178">
        <f t="shared" si="10"/>
        <v>55700</v>
      </c>
      <c r="M28" s="178">
        <f t="shared" si="11"/>
        <v>62500</v>
      </c>
      <c r="N28" s="178">
        <f t="shared" si="12"/>
        <v>73200</v>
      </c>
      <c r="O28" s="178">
        <f t="shared" si="13"/>
        <v>87700</v>
      </c>
      <c r="P28" s="178">
        <f t="shared" si="14"/>
        <v>92700</v>
      </c>
      <c r="Q28" s="178">
        <f t="shared" si="15"/>
        <v>100200</v>
      </c>
      <c r="R28" s="178">
        <f t="shared" si="16"/>
        <v>111200</v>
      </c>
      <c r="S28" s="178">
        <f t="shared" si="17"/>
        <v>117200</v>
      </c>
      <c r="T28" s="178">
        <f t="shared" si="18"/>
        <v>124300</v>
      </c>
      <c r="U28" s="178">
        <f t="shared" si="19"/>
        <v>131800</v>
      </c>
      <c r="V28" s="178">
        <f t="shared" si="20"/>
        <v>147000</v>
      </c>
      <c r="W28" s="178">
        <f t="shared" si="20"/>
        <v>203500</v>
      </c>
      <c r="X28" s="178"/>
      <c r="Y28" s="178"/>
      <c r="Z28" s="178"/>
      <c r="AA28" s="235"/>
    </row>
    <row r="29" spans="1:27" s="176" customFormat="1" ht="15.75">
      <c r="A29" s="235"/>
      <c r="B29" s="174">
        <v>19</v>
      </c>
      <c r="C29" s="178">
        <f t="shared" si="1"/>
        <v>30200</v>
      </c>
      <c r="D29" s="178">
        <f t="shared" si="2"/>
        <v>30500</v>
      </c>
      <c r="E29" s="178">
        <f t="shared" si="3"/>
        <v>31100</v>
      </c>
      <c r="F29" s="178">
        <f t="shared" si="4"/>
        <v>32700</v>
      </c>
      <c r="G29" s="178">
        <f t="shared" si="5"/>
        <v>35300</v>
      </c>
      <c r="H29" s="178">
        <f t="shared" si="6"/>
        <v>36500</v>
      </c>
      <c r="I29" s="178">
        <f t="shared" si="7"/>
        <v>38300</v>
      </c>
      <c r="J29" s="178">
        <f t="shared" si="8"/>
        <v>44800</v>
      </c>
      <c r="K29" s="178">
        <f t="shared" si="9"/>
        <v>48900</v>
      </c>
      <c r="L29" s="178">
        <f t="shared" si="10"/>
        <v>57400</v>
      </c>
      <c r="M29" s="178">
        <f t="shared" si="11"/>
        <v>64400</v>
      </c>
      <c r="N29" s="178">
        <f t="shared" si="12"/>
        <v>75400</v>
      </c>
      <c r="O29" s="178">
        <f t="shared" si="13"/>
        <v>90300</v>
      </c>
      <c r="P29" s="178">
        <f t="shared" si="14"/>
        <v>95500</v>
      </c>
      <c r="Q29" s="178">
        <f t="shared" si="15"/>
        <v>103200</v>
      </c>
      <c r="R29" s="178">
        <f t="shared" si="16"/>
        <v>114500</v>
      </c>
      <c r="S29" s="178">
        <f t="shared" si="17"/>
        <v>120700</v>
      </c>
      <c r="T29" s="178">
        <f t="shared" si="18"/>
        <v>128000</v>
      </c>
      <c r="U29" s="178">
        <f t="shared" si="19"/>
        <v>135800</v>
      </c>
      <c r="V29" s="178">
        <f t="shared" si="20"/>
        <v>151400</v>
      </c>
      <c r="W29" s="178"/>
      <c r="X29" s="178"/>
      <c r="Y29" s="178"/>
      <c r="Z29" s="178"/>
      <c r="AA29" s="235"/>
    </row>
    <row r="30" spans="1:27" s="176" customFormat="1" ht="15.75">
      <c r="A30" s="235"/>
      <c r="B30" s="174">
        <v>20</v>
      </c>
      <c r="C30" s="178">
        <f t="shared" si="1"/>
        <v>31100</v>
      </c>
      <c r="D30" s="178">
        <f t="shared" si="2"/>
        <v>31400</v>
      </c>
      <c r="E30" s="178">
        <f t="shared" si="3"/>
        <v>32000</v>
      </c>
      <c r="F30" s="178">
        <f t="shared" si="4"/>
        <v>33700</v>
      </c>
      <c r="G30" s="178">
        <f t="shared" si="5"/>
        <v>36400</v>
      </c>
      <c r="H30" s="178">
        <f t="shared" si="6"/>
        <v>37600</v>
      </c>
      <c r="I30" s="178">
        <f t="shared" si="7"/>
        <v>39400</v>
      </c>
      <c r="J30" s="178">
        <f t="shared" si="8"/>
        <v>46100</v>
      </c>
      <c r="K30" s="178">
        <f t="shared" si="9"/>
        <v>50400</v>
      </c>
      <c r="L30" s="178">
        <f t="shared" si="10"/>
        <v>59100</v>
      </c>
      <c r="M30" s="178">
        <f t="shared" si="11"/>
        <v>66300</v>
      </c>
      <c r="N30" s="178">
        <f t="shared" si="12"/>
        <v>77700</v>
      </c>
      <c r="O30" s="178">
        <f t="shared" si="13"/>
        <v>93000</v>
      </c>
      <c r="P30" s="178">
        <f t="shared" si="14"/>
        <v>98400</v>
      </c>
      <c r="Q30" s="178">
        <f t="shared" si="15"/>
        <v>106300</v>
      </c>
      <c r="R30" s="178">
        <f t="shared" si="16"/>
        <v>117900</v>
      </c>
      <c r="S30" s="178">
        <f t="shared" si="17"/>
        <v>124300</v>
      </c>
      <c r="T30" s="178">
        <f t="shared" si="18"/>
        <v>131800</v>
      </c>
      <c r="U30" s="178">
        <f t="shared" si="19"/>
        <v>139900</v>
      </c>
      <c r="V30" s="178">
        <f t="shared" si="20"/>
        <v>155900</v>
      </c>
      <c r="W30" s="178"/>
      <c r="X30" s="178"/>
      <c r="Y30" s="178"/>
      <c r="Z30" s="178"/>
      <c r="AA30" s="235"/>
    </row>
    <row r="31" spans="1:27" s="176" customFormat="1" ht="15.75">
      <c r="A31" s="235"/>
      <c r="B31" s="174">
        <v>21</v>
      </c>
      <c r="C31" s="178">
        <f t="shared" si="1"/>
        <v>32000</v>
      </c>
      <c r="D31" s="178">
        <f t="shared" si="2"/>
        <v>32300</v>
      </c>
      <c r="E31" s="178">
        <f t="shared" si="3"/>
        <v>33000</v>
      </c>
      <c r="F31" s="178">
        <f t="shared" si="4"/>
        <v>34700</v>
      </c>
      <c r="G31" s="178">
        <f t="shared" si="5"/>
        <v>37500</v>
      </c>
      <c r="H31" s="178">
        <f t="shared" si="6"/>
        <v>38700</v>
      </c>
      <c r="I31" s="178">
        <f t="shared" si="7"/>
        <v>40600</v>
      </c>
      <c r="J31" s="178">
        <f t="shared" si="8"/>
        <v>47500</v>
      </c>
      <c r="K31" s="178">
        <f t="shared" si="9"/>
        <v>51900</v>
      </c>
      <c r="L31" s="178">
        <f t="shared" si="10"/>
        <v>60900</v>
      </c>
      <c r="M31" s="178">
        <f t="shared" si="11"/>
        <v>68300</v>
      </c>
      <c r="N31" s="178">
        <f t="shared" si="12"/>
        <v>80000</v>
      </c>
      <c r="O31" s="178">
        <f t="shared" si="13"/>
        <v>95800</v>
      </c>
      <c r="P31" s="178">
        <f t="shared" si="14"/>
        <v>101400</v>
      </c>
      <c r="Q31" s="178">
        <f t="shared" si="15"/>
        <v>109500</v>
      </c>
      <c r="R31" s="178">
        <f t="shared" si="16"/>
        <v>121400</v>
      </c>
      <c r="S31" s="178">
        <f t="shared" si="17"/>
        <v>128000</v>
      </c>
      <c r="T31" s="178">
        <f t="shared" si="18"/>
        <v>135800</v>
      </c>
      <c r="U31" s="178">
        <f t="shared" si="19"/>
        <v>144100</v>
      </c>
      <c r="V31" s="178">
        <f t="shared" si="20"/>
        <v>160600</v>
      </c>
      <c r="W31" s="178"/>
      <c r="X31" s="178"/>
      <c r="Y31" s="178"/>
      <c r="Z31" s="178"/>
      <c r="AA31" s="235"/>
    </row>
    <row r="32" spans="1:27" s="176" customFormat="1" ht="15.75">
      <c r="A32" s="235"/>
      <c r="B32" s="174">
        <v>22</v>
      </c>
      <c r="C32" s="178">
        <f t="shared" si="1"/>
        <v>33000</v>
      </c>
      <c r="D32" s="178">
        <f t="shared" si="2"/>
        <v>33300</v>
      </c>
      <c r="E32" s="178">
        <f t="shared" si="3"/>
        <v>34000</v>
      </c>
      <c r="F32" s="178">
        <f t="shared" si="4"/>
        <v>35700</v>
      </c>
      <c r="G32" s="178">
        <f t="shared" si="5"/>
        <v>38600</v>
      </c>
      <c r="H32" s="178">
        <f t="shared" si="6"/>
        <v>39900</v>
      </c>
      <c r="I32" s="178">
        <f t="shared" si="7"/>
        <v>41800</v>
      </c>
      <c r="J32" s="178">
        <f t="shared" si="8"/>
        <v>48900</v>
      </c>
      <c r="K32" s="178">
        <f t="shared" si="9"/>
        <v>53500</v>
      </c>
      <c r="L32" s="178">
        <f t="shared" si="10"/>
        <v>62700</v>
      </c>
      <c r="M32" s="178">
        <f t="shared" si="11"/>
        <v>70300</v>
      </c>
      <c r="N32" s="178">
        <f t="shared" si="12"/>
        <v>82400</v>
      </c>
      <c r="O32" s="178">
        <f t="shared" si="13"/>
        <v>98700</v>
      </c>
      <c r="P32" s="178">
        <f t="shared" si="14"/>
        <v>104400</v>
      </c>
      <c r="Q32" s="178">
        <f t="shared" si="15"/>
        <v>112800</v>
      </c>
      <c r="R32" s="178">
        <f t="shared" si="16"/>
        <v>125000</v>
      </c>
      <c r="S32" s="178">
        <f t="shared" si="17"/>
        <v>131800</v>
      </c>
      <c r="T32" s="178">
        <f t="shared" si="18"/>
        <v>139900</v>
      </c>
      <c r="U32" s="178">
        <f t="shared" si="19"/>
        <v>148400</v>
      </c>
      <c r="V32" s="178">
        <f t="shared" si="20"/>
        <v>165400</v>
      </c>
      <c r="W32" s="178"/>
      <c r="X32" s="178"/>
      <c r="Y32" s="178"/>
      <c r="Z32" s="178"/>
      <c r="AA32" s="235"/>
    </row>
    <row r="33" spans="1:27" s="176" customFormat="1" ht="15.75">
      <c r="A33" s="235"/>
      <c r="B33" s="174">
        <v>23</v>
      </c>
      <c r="C33" s="178">
        <f t="shared" si="1"/>
        <v>34000</v>
      </c>
      <c r="D33" s="178">
        <f t="shared" si="2"/>
        <v>34300</v>
      </c>
      <c r="E33" s="178">
        <f t="shared" si="3"/>
        <v>35000</v>
      </c>
      <c r="F33" s="178">
        <f t="shared" si="4"/>
        <v>36800</v>
      </c>
      <c r="G33" s="178">
        <f t="shared" si="5"/>
        <v>39800</v>
      </c>
      <c r="H33" s="178">
        <f t="shared" si="6"/>
        <v>41100</v>
      </c>
      <c r="I33" s="178">
        <f t="shared" si="7"/>
        <v>43100</v>
      </c>
      <c r="J33" s="178">
        <f t="shared" si="8"/>
        <v>50400</v>
      </c>
      <c r="K33" s="178">
        <f t="shared" si="9"/>
        <v>55100</v>
      </c>
      <c r="L33" s="178">
        <f t="shared" si="10"/>
        <v>64600</v>
      </c>
      <c r="M33" s="178">
        <f t="shared" si="11"/>
        <v>72400</v>
      </c>
      <c r="N33" s="178">
        <f t="shared" si="12"/>
        <v>84900</v>
      </c>
      <c r="O33" s="178">
        <f t="shared" si="13"/>
        <v>101700</v>
      </c>
      <c r="P33" s="178">
        <f t="shared" si="14"/>
        <v>107500</v>
      </c>
      <c r="Q33" s="178">
        <f t="shared" si="15"/>
        <v>116200</v>
      </c>
      <c r="R33" s="178">
        <f t="shared" si="16"/>
        <v>128800</v>
      </c>
      <c r="S33" s="178">
        <f t="shared" si="17"/>
        <v>135800</v>
      </c>
      <c r="T33" s="178">
        <f t="shared" si="18"/>
        <v>144100</v>
      </c>
      <c r="U33" s="178">
        <f t="shared" si="19"/>
        <v>152900</v>
      </c>
      <c r="V33" s="178">
        <f t="shared" si="20"/>
        <v>170400</v>
      </c>
      <c r="W33" s="178"/>
      <c r="X33" s="178"/>
      <c r="Y33" s="178"/>
      <c r="Z33" s="178"/>
      <c r="AA33" s="235"/>
    </row>
    <row r="34" spans="1:27" s="176" customFormat="1" ht="15.75">
      <c r="A34" s="235"/>
      <c r="B34" s="174">
        <v>24</v>
      </c>
      <c r="C34" s="178">
        <f t="shared" si="1"/>
        <v>35000</v>
      </c>
      <c r="D34" s="178">
        <f t="shared" si="2"/>
        <v>35300</v>
      </c>
      <c r="E34" s="178">
        <f t="shared" si="3"/>
        <v>36100</v>
      </c>
      <c r="F34" s="178">
        <f t="shared" si="4"/>
        <v>37900</v>
      </c>
      <c r="G34" s="178">
        <f t="shared" si="5"/>
        <v>41000</v>
      </c>
      <c r="H34" s="178">
        <f t="shared" si="6"/>
        <v>42300</v>
      </c>
      <c r="I34" s="178">
        <f t="shared" si="7"/>
        <v>44400</v>
      </c>
      <c r="J34" s="178">
        <f t="shared" si="8"/>
        <v>51900</v>
      </c>
      <c r="K34" s="178">
        <f t="shared" si="9"/>
        <v>56800</v>
      </c>
      <c r="L34" s="178">
        <f t="shared" si="10"/>
        <v>66500</v>
      </c>
      <c r="M34" s="178">
        <f t="shared" si="11"/>
        <v>74600</v>
      </c>
      <c r="N34" s="178">
        <f t="shared" si="12"/>
        <v>87400</v>
      </c>
      <c r="O34" s="178">
        <f t="shared" si="13"/>
        <v>104800</v>
      </c>
      <c r="P34" s="178">
        <f t="shared" si="14"/>
        <v>110700</v>
      </c>
      <c r="Q34" s="178">
        <f t="shared" si="15"/>
        <v>119700</v>
      </c>
      <c r="R34" s="178">
        <f t="shared" si="16"/>
        <v>132700</v>
      </c>
      <c r="S34" s="178">
        <f t="shared" si="17"/>
        <v>139900</v>
      </c>
      <c r="T34" s="178">
        <f t="shared" si="18"/>
        <v>148400</v>
      </c>
      <c r="U34" s="178">
        <f t="shared" si="19"/>
        <v>157500</v>
      </c>
      <c r="V34" s="178">
        <f t="shared" si="20"/>
        <v>175500</v>
      </c>
      <c r="W34" s="178"/>
      <c r="X34" s="178"/>
      <c r="Y34" s="178"/>
      <c r="Z34" s="178"/>
      <c r="AA34" s="235"/>
    </row>
    <row r="35" spans="1:27" s="176" customFormat="1" ht="15.75">
      <c r="A35" s="235"/>
      <c r="B35" s="174">
        <v>25</v>
      </c>
      <c r="C35" s="178">
        <f t="shared" si="1"/>
        <v>36100</v>
      </c>
      <c r="D35" s="178">
        <f t="shared" si="2"/>
        <v>36400</v>
      </c>
      <c r="E35" s="178">
        <f t="shared" si="3"/>
        <v>37200</v>
      </c>
      <c r="F35" s="178">
        <f t="shared" si="4"/>
        <v>39000</v>
      </c>
      <c r="G35" s="178">
        <f t="shared" si="5"/>
        <v>42200</v>
      </c>
      <c r="H35" s="178">
        <f t="shared" si="6"/>
        <v>43600</v>
      </c>
      <c r="I35" s="178">
        <f t="shared" si="7"/>
        <v>45700</v>
      </c>
      <c r="J35" s="178">
        <f t="shared" si="8"/>
        <v>53500</v>
      </c>
      <c r="K35" s="178">
        <f t="shared" si="9"/>
        <v>58500</v>
      </c>
      <c r="L35" s="178">
        <f t="shared" si="10"/>
        <v>68500</v>
      </c>
      <c r="M35" s="178">
        <f t="shared" si="11"/>
        <v>76800</v>
      </c>
      <c r="N35" s="178">
        <f t="shared" si="12"/>
        <v>90000</v>
      </c>
      <c r="O35" s="178">
        <f t="shared" si="13"/>
        <v>107900</v>
      </c>
      <c r="P35" s="178">
        <f t="shared" si="14"/>
        <v>114000</v>
      </c>
      <c r="Q35" s="178">
        <f t="shared" si="15"/>
        <v>123300</v>
      </c>
      <c r="R35" s="178">
        <f t="shared" si="16"/>
        <v>136700</v>
      </c>
      <c r="S35" s="178">
        <f t="shared" si="17"/>
        <v>144100</v>
      </c>
      <c r="T35" s="178">
        <f t="shared" si="18"/>
        <v>152900</v>
      </c>
      <c r="U35" s="178">
        <f t="shared" si="19"/>
        <v>162200</v>
      </c>
      <c r="V35" s="178">
        <f t="shared" si="20"/>
        <v>180800</v>
      </c>
      <c r="W35" s="178"/>
      <c r="X35" s="178"/>
      <c r="Y35" s="178"/>
      <c r="Z35" s="178"/>
      <c r="AA35" s="235"/>
    </row>
    <row r="36" spans="1:27" s="176" customFormat="1" ht="15.75">
      <c r="A36" s="235"/>
      <c r="B36" s="174">
        <v>26</v>
      </c>
      <c r="C36" s="178">
        <f t="shared" si="1"/>
        <v>37200</v>
      </c>
      <c r="D36" s="178">
        <f t="shared" si="2"/>
        <v>37500</v>
      </c>
      <c r="E36" s="178">
        <f t="shared" si="3"/>
        <v>38300</v>
      </c>
      <c r="F36" s="178">
        <f t="shared" si="4"/>
        <v>40200</v>
      </c>
      <c r="G36" s="178">
        <f t="shared" si="5"/>
        <v>43500</v>
      </c>
      <c r="H36" s="178">
        <f t="shared" si="6"/>
        <v>44900</v>
      </c>
      <c r="I36" s="178">
        <f t="shared" si="7"/>
        <v>47100</v>
      </c>
      <c r="J36" s="178">
        <f t="shared" si="8"/>
        <v>55100</v>
      </c>
      <c r="K36" s="178">
        <f t="shared" si="9"/>
        <v>60300</v>
      </c>
      <c r="L36" s="178">
        <f t="shared" si="10"/>
        <v>70600</v>
      </c>
      <c r="M36" s="178">
        <f t="shared" si="11"/>
        <v>79100</v>
      </c>
      <c r="N36" s="178">
        <f t="shared" si="12"/>
        <v>92700</v>
      </c>
      <c r="O36" s="178">
        <f t="shared" si="13"/>
        <v>111100</v>
      </c>
      <c r="P36" s="178">
        <f t="shared" si="14"/>
        <v>117400</v>
      </c>
      <c r="Q36" s="178">
        <f t="shared" si="15"/>
        <v>127000</v>
      </c>
      <c r="R36" s="178">
        <f t="shared" si="16"/>
        <v>140800</v>
      </c>
      <c r="S36" s="178">
        <f t="shared" si="17"/>
        <v>148400</v>
      </c>
      <c r="T36" s="178">
        <f t="shared" si="18"/>
        <v>157500</v>
      </c>
      <c r="U36" s="178">
        <f t="shared" si="19"/>
        <v>167100</v>
      </c>
      <c r="V36" s="178">
        <f t="shared" si="20"/>
        <v>186200</v>
      </c>
      <c r="W36" s="178"/>
      <c r="X36" s="178"/>
      <c r="Y36" s="178"/>
      <c r="Z36" s="178"/>
      <c r="AA36" s="235"/>
    </row>
    <row r="37" spans="1:27" s="176" customFormat="1" ht="15.75">
      <c r="A37" s="235"/>
      <c r="B37" s="174">
        <v>27</v>
      </c>
      <c r="C37" s="178">
        <f t="shared" si="1"/>
        <v>38300</v>
      </c>
      <c r="D37" s="178">
        <f t="shared" si="2"/>
        <v>38600</v>
      </c>
      <c r="E37" s="178">
        <f t="shared" si="3"/>
        <v>39400</v>
      </c>
      <c r="F37" s="178">
        <f t="shared" si="4"/>
        <v>41400</v>
      </c>
      <c r="G37" s="178">
        <f t="shared" si="5"/>
        <v>44800</v>
      </c>
      <c r="H37" s="178">
        <f t="shared" si="6"/>
        <v>46200</v>
      </c>
      <c r="I37" s="178">
        <f t="shared" si="7"/>
        <v>48500</v>
      </c>
      <c r="J37" s="178">
        <f t="shared" si="8"/>
        <v>56800</v>
      </c>
      <c r="K37" s="178">
        <f t="shared" si="9"/>
        <v>62100</v>
      </c>
      <c r="L37" s="178">
        <f t="shared" si="10"/>
        <v>72700</v>
      </c>
      <c r="M37" s="178">
        <f t="shared" si="11"/>
        <v>81500</v>
      </c>
      <c r="N37" s="178">
        <f t="shared" si="12"/>
        <v>95500</v>
      </c>
      <c r="O37" s="178">
        <f t="shared" si="13"/>
        <v>114400</v>
      </c>
      <c r="P37" s="178">
        <f t="shared" si="14"/>
        <v>120900</v>
      </c>
      <c r="Q37" s="178">
        <f t="shared" si="15"/>
        <v>130800</v>
      </c>
      <c r="R37" s="178">
        <f t="shared" si="16"/>
        <v>145000</v>
      </c>
      <c r="S37" s="178">
        <f t="shared" si="17"/>
        <v>152900</v>
      </c>
      <c r="T37" s="178">
        <f t="shared" si="18"/>
        <v>162200</v>
      </c>
      <c r="U37" s="178">
        <f t="shared" si="19"/>
        <v>172100</v>
      </c>
      <c r="V37" s="178">
        <f t="shared" si="20"/>
        <v>191800</v>
      </c>
      <c r="W37" s="178"/>
      <c r="X37" s="178"/>
      <c r="Y37" s="178"/>
      <c r="Z37" s="178"/>
      <c r="AA37" s="235"/>
    </row>
    <row r="38" spans="1:27" s="176" customFormat="1" ht="15.75">
      <c r="A38" s="235"/>
      <c r="B38" s="174">
        <v>28</v>
      </c>
      <c r="C38" s="178">
        <f t="shared" si="1"/>
        <v>39400</v>
      </c>
      <c r="D38" s="178">
        <f t="shared" si="2"/>
        <v>39800</v>
      </c>
      <c r="E38" s="178">
        <f t="shared" si="3"/>
        <v>40600</v>
      </c>
      <c r="F38" s="178">
        <f t="shared" si="4"/>
        <v>42600</v>
      </c>
      <c r="G38" s="178">
        <f t="shared" si="5"/>
        <v>46100</v>
      </c>
      <c r="H38" s="178">
        <f t="shared" si="6"/>
        <v>47600</v>
      </c>
      <c r="I38" s="178">
        <f t="shared" si="7"/>
        <v>50000</v>
      </c>
      <c r="J38" s="178">
        <f t="shared" si="8"/>
        <v>58500</v>
      </c>
      <c r="K38" s="178">
        <f t="shared" si="9"/>
        <v>64000</v>
      </c>
      <c r="L38" s="178">
        <f t="shared" si="10"/>
        <v>74900</v>
      </c>
      <c r="M38" s="178">
        <f t="shared" si="11"/>
        <v>83900</v>
      </c>
      <c r="N38" s="178">
        <f t="shared" si="12"/>
        <v>98400</v>
      </c>
      <c r="O38" s="178">
        <f t="shared" si="13"/>
        <v>117800</v>
      </c>
      <c r="P38" s="178">
        <f t="shared" si="14"/>
        <v>124500</v>
      </c>
      <c r="Q38" s="178">
        <f t="shared" si="15"/>
        <v>134700</v>
      </c>
      <c r="R38" s="178">
        <f t="shared" si="16"/>
        <v>149400</v>
      </c>
      <c r="S38" s="178">
        <f t="shared" si="17"/>
        <v>157500</v>
      </c>
      <c r="T38" s="178">
        <f t="shared" si="18"/>
        <v>167100</v>
      </c>
      <c r="U38" s="178">
        <f t="shared" si="19"/>
        <v>177300</v>
      </c>
      <c r="V38" s="178">
        <f t="shared" si="20"/>
        <v>197600</v>
      </c>
      <c r="W38" s="178"/>
      <c r="X38" s="178"/>
      <c r="Y38" s="178"/>
      <c r="Z38" s="178"/>
      <c r="AA38" s="235"/>
    </row>
    <row r="39" spans="1:27" s="176" customFormat="1" ht="15.75">
      <c r="A39" s="235"/>
      <c r="B39" s="174">
        <v>29</v>
      </c>
      <c r="C39" s="178">
        <f t="shared" si="1"/>
        <v>40600</v>
      </c>
      <c r="D39" s="178">
        <f t="shared" si="2"/>
        <v>41000</v>
      </c>
      <c r="E39" s="178">
        <f t="shared" si="3"/>
        <v>41800</v>
      </c>
      <c r="F39" s="178">
        <f t="shared" si="4"/>
        <v>43900</v>
      </c>
      <c r="G39" s="178">
        <f t="shared" si="5"/>
        <v>47500</v>
      </c>
      <c r="H39" s="178">
        <f t="shared" si="6"/>
        <v>49000</v>
      </c>
      <c r="I39" s="178">
        <f t="shared" si="7"/>
        <v>51500</v>
      </c>
      <c r="J39" s="178">
        <f t="shared" si="8"/>
        <v>60300</v>
      </c>
      <c r="K39" s="178">
        <f t="shared" si="9"/>
        <v>65900</v>
      </c>
      <c r="L39" s="178">
        <f t="shared" si="10"/>
        <v>77100</v>
      </c>
      <c r="M39" s="178">
        <f t="shared" si="11"/>
        <v>86400</v>
      </c>
      <c r="N39" s="178">
        <f t="shared" si="12"/>
        <v>101400</v>
      </c>
      <c r="O39" s="178">
        <f t="shared" si="13"/>
        <v>121300</v>
      </c>
      <c r="P39" s="178">
        <f t="shared" si="14"/>
        <v>128200</v>
      </c>
      <c r="Q39" s="178">
        <f t="shared" si="15"/>
        <v>138700</v>
      </c>
      <c r="R39" s="178">
        <f t="shared" si="16"/>
        <v>153900</v>
      </c>
      <c r="S39" s="178">
        <f t="shared" si="17"/>
        <v>162200</v>
      </c>
      <c r="T39" s="178">
        <f t="shared" si="18"/>
        <v>172100</v>
      </c>
      <c r="U39" s="178">
        <f t="shared" si="19"/>
        <v>182600</v>
      </c>
      <c r="V39" s="178">
        <f t="shared" si="20"/>
        <v>203500</v>
      </c>
      <c r="W39" s="178"/>
      <c r="X39" s="178"/>
      <c r="Y39" s="178"/>
      <c r="Z39" s="178"/>
      <c r="AA39" s="235"/>
    </row>
    <row r="40" spans="1:27" s="176" customFormat="1" ht="15.75">
      <c r="A40" s="235"/>
      <c r="B40" s="174">
        <v>30</v>
      </c>
      <c r="C40" s="178">
        <f t="shared" si="1"/>
        <v>41800</v>
      </c>
      <c r="D40" s="178">
        <f t="shared" si="2"/>
        <v>42200</v>
      </c>
      <c r="E40" s="178">
        <f t="shared" si="3"/>
        <v>43100</v>
      </c>
      <c r="F40" s="178">
        <f t="shared" si="4"/>
        <v>45200</v>
      </c>
      <c r="G40" s="178">
        <f t="shared" si="5"/>
        <v>48900</v>
      </c>
      <c r="H40" s="178">
        <f t="shared" si="6"/>
        <v>50500</v>
      </c>
      <c r="I40" s="178">
        <f t="shared" si="7"/>
        <v>53000</v>
      </c>
      <c r="J40" s="178">
        <f t="shared" si="8"/>
        <v>62100</v>
      </c>
      <c r="K40" s="178">
        <f t="shared" si="9"/>
        <v>67900</v>
      </c>
      <c r="L40" s="178">
        <f t="shared" si="10"/>
        <v>79400</v>
      </c>
      <c r="M40" s="178">
        <f t="shared" si="11"/>
        <v>89000</v>
      </c>
      <c r="N40" s="178">
        <f t="shared" si="12"/>
        <v>104400</v>
      </c>
      <c r="O40" s="178">
        <f t="shared" si="13"/>
        <v>124900</v>
      </c>
      <c r="P40" s="178">
        <f t="shared" si="14"/>
        <v>132000</v>
      </c>
      <c r="Q40" s="178">
        <f t="shared" si="15"/>
        <v>142900</v>
      </c>
      <c r="R40" s="178">
        <f t="shared" si="16"/>
        <v>158500</v>
      </c>
      <c r="S40" s="178">
        <f t="shared" si="17"/>
        <v>167100</v>
      </c>
      <c r="T40" s="178">
        <f t="shared" si="18"/>
        <v>177300</v>
      </c>
      <c r="U40" s="178">
        <f t="shared" si="19"/>
        <v>188100</v>
      </c>
      <c r="V40" s="178"/>
      <c r="W40" s="178"/>
      <c r="X40" s="178"/>
      <c r="Y40" s="178"/>
      <c r="Z40" s="178"/>
      <c r="AA40" s="235"/>
    </row>
    <row r="41" spans="1:27" s="176" customFormat="1" ht="15.75">
      <c r="A41" s="235"/>
      <c r="B41" s="174">
        <v>31</v>
      </c>
      <c r="C41" s="178">
        <f t="shared" si="1"/>
        <v>43100</v>
      </c>
      <c r="D41" s="178">
        <f t="shared" si="2"/>
        <v>43500</v>
      </c>
      <c r="E41" s="178">
        <f t="shared" si="3"/>
        <v>44400</v>
      </c>
      <c r="F41" s="178">
        <f t="shared" si="4"/>
        <v>46600</v>
      </c>
      <c r="G41" s="178">
        <f t="shared" si="5"/>
        <v>50400</v>
      </c>
      <c r="H41" s="178">
        <f t="shared" si="6"/>
        <v>52000</v>
      </c>
      <c r="I41" s="178">
        <f t="shared" si="7"/>
        <v>54600</v>
      </c>
      <c r="J41" s="178">
        <f t="shared" si="8"/>
        <v>64000</v>
      </c>
      <c r="K41" s="178">
        <f t="shared" si="9"/>
        <v>69900</v>
      </c>
      <c r="L41" s="178">
        <f t="shared" si="10"/>
        <v>81800</v>
      </c>
      <c r="M41" s="178">
        <f t="shared" si="11"/>
        <v>91700</v>
      </c>
      <c r="N41" s="178">
        <f t="shared" si="12"/>
        <v>107500</v>
      </c>
      <c r="O41" s="178">
        <f t="shared" si="13"/>
        <v>128600</v>
      </c>
      <c r="P41" s="178">
        <f t="shared" si="14"/>
        <v>136000</v>
      </c>
      <c r="Q41" s="178">
        <f t="shared" si="15"/>
        <v>147200</v>
      </c>
      <c r="R41" s="178">
        <f t="shared" si="16"/>
        <v>163300</v>
      </c>
      <c r="S41" s="178">
        <f t="shared" si="17"/>
        <v>172100</v>
      </c>
      <c r="T41" s="178">
        <f t="shared" si="18"/>
        <v>182600</v>
      </c>
      <c r="U41" s="178">
        <f t="shared" si="19"/>
        <v>193700</v>
      </c>
      <c r="V41" s="178"/>
      <c r="W41" s="178"/>
      <c r="X41" s="178"/>
      <c r="Y41" s="178"/>
      <c r="Z41" s="178"/>
      <c r="AA41" s="235"/>
    </row>
    <row r="42" spans="1:27" s="176" customFormat="1" ht="15.75">
      <c r="A42" s="235"/>
      <c r="B42" s="174">
        <v>32</v>
      </c>
      <c r="C42" s="178">
        <f t="shared" si="1"/>
        <v>44400</v>
      </c>
      <c r="D42" s="178">
        <f t="shared" si="2"/>
        <v>44800</v>
      </c>
      <c r="E42" s="178">
        <f t="shared" si="3"/>
        <v>45700</v>
      </c>
      <c r="F42" s="178">
        <f t="shared" si="4"/>
        <v>48000</v>
      </c>
      <c r="G42" s="178">
        <f t="shared" si="5"/>
        <v>51900</v>
      </c>
      <c r="H42" s="178">
        <f t="shared" si="6"/>
        <v>53600</v>
      </c>
      <c r="I42" s="178">
        <f t="shared" si="7"/>
        <v>56200</v>
      </c>
      <c r="J42" s="178">
        <f t="shared" si="8"/>
        <v>65900</v>
      </c>
      <c r="K42" s="178">
        <f t="shared" si="9"/>
        <v>72000</v>
      </c>
      <c r="L42" s="178">
        <f t="shared" si="10"/>
        <v>84300</v>
      </c>
      <c r="M42" s="178">
        <f t="shared" si="11"/>
        <v>94500</v>
      </c>
      <c r="N42" s="178">
        <f t="shared" si="12"/>
        <v>110700</v>
      </c>
      <c r="O42" s="178">
        <f t="shared" si="13"/>
        <v>132500</v>
      </c>
      <c r="P42" s="178">
        <f t="shared" si="14"/>
        <v>140100</v>
      </c>
      <c r="Q42" s="178">
        <f t="shared" si="15"/>
        <v>151600</v>
      </c>
      <c r="R42" s="178">
        <f t="shared" si="16"/>
        <v>168200</v>
      </c>
      <c r="S42" s="178">
        <f t="shared" si="17"/>
        <v>177300</v>
      </c>
      <c r="T42" s="178">
        <f t="shared" si="18"/>
        <v>188100</v>
      </c>
      <c r="U42" s="178">
        <f t="shared" si="19"/>
        <v>199500</v>
      </c>
      <c r="V42" s="178"/>
      <c r="W42" s="178"/>
      <c r="X42" s="178"/>
      <c r="Y42" s="178"/>
      <c r="Z42" s="178"/>
      <c r="AA42" s="235"/>
    </row>
    <row r="43" spans="1:27" s="176" customFormat="1" ht="15.75">
      <c r="A43" s="235"/>
      <c r="B43" s="174">
        <v>33</v>
      </c>
      <c r="C43" s="178">
        <f t="shared" si="1"/>
        <v>45700</v>
      </c>
      <c r="D43" s="178">
        <f t="shared" si="2"/>
        <v>46100</v>
      </c>
      <c r="E43" s="178">
        <f t="shared" si="3"/>
        <v>47100</v>
      </c>
      <c r="F43" s="178">
        <f t="shared" si="4"/>
        <v>49400</v>
      </c>
      <c r="G43" s="178">
        <f t="shared" si="5"/>
        <v>53500</v>
      </c>
      <c r="H43" s="178">
        <f t="shared" si="6"/>
        <v>55200</v>
      </c>
      <c r="I43" s="178">
        <f t="shared" si="7"/>
        <v>57900</v>
      </c>
      <c r="J43" s="178">
        <f t="shared" si="8"/>
        <v>67900</v>
      </c>
      <c r="K43" s="178">
        <f t="shared" si="9"/>
        <v>74200</v>
      </c>
      <c r="L43" s="178">
        <f t="shared" si="10"/>
        <v>86800</v>
      </c>
      <c r="M43" s="178">
        <f t="shared" si="11"/>
        <v>97300</v>
      </c>
      <c r="N43" s="178">
        <f t="shared" si="12"/>
        <v>114000</v>
      </c>
      <c r="O43" s="178">
        <f t="shared" si="13"/>
        <v>136500</v>
      </c>
      <c r="P43" s="178">
        <f t="shared" si="14"/>
        <v>144300</v>
      </c>
      <c r="Q43" s="178">
        <f t="shared" si="15"/>
        <v>156100</v>
      </c>
      <c r="R43" s="178">
        <f t="shared" si="16"/>
        <v>173200</v>
      </c>
      <c r="S43" s="178">
        <f t="shared" si="17"/>
        <v>182600</v>
      </c>
      <c r="T43" s="178">
        <f t="shared" si="18"/>
        <v>193700</v>
      </c>
      <c r="U43" s="178"/>
      <c r="V43" s="178"/>
      <c r="W43" s="178"/>
      <c r="X43" s="178"/>
      <c r="Y43" s="178"/>
      <c r="Z43" s="178"/>
      <c r="AA43" s="235"/>
    </row>
    <row r="44" spans="1:27" s="176" customFormat="1" ht="15.75">
      <c r="A44" s="235"/>
      <c r="B44" s="174">
        <v>34</v>
      </c>
      <c r="C44" s="178">
        <f t="shared" si="1"/>
        <v>47100</v>
      </c>
      <c r="D44" s="178">
        <f t="shared" si="2"/>
        <v>47500</v>
      </c>
      <c r="E44" s="178">
        <f t="shared" si="3"/>
        <v>48500</v>
      </c>
      <c r="F44" s="178">
        <f t="shared" si="4"/>
        <v>50900</v>
      </c>
      <c r="G44" s="178">
        <f t="shared" si="5"/>
        <v>55100</v>
      </c>
      <c r="H44" s="178">
        <f t="shared" si="6"/>
        <v>56900</v>
      </c>
      <c r="I44" s="178">
        <f t="shared" si="7"/>
        <v>59600</v>
      </c>
      <c r="J44" s="178">
        <f t="shared" si="8"/>
        <v>69900</v>
      </c>
      <c r="K44" s="178">
        <f t="shared" si="9"/>
        <v>76400</v>
      </c>
      <c r="L44" s="178">
        <f t="shared" si="10"/>
        <v>89400</v>
      </c>
      <c r="M44" s="178">
        <f t="shared" si="11"/>
        <v>100200</v>
      </c>
      <c r="N44" s="178">
        <f t="shared" si="12"/>
        <v>117400</v>
      </c>
      <c r="O44" s="178">
        <f t="shared" si="13"/>
        <v>140600</v>
      </c>
      <c r="P44" s="178">
        <f t="shared" si="14"/>
        <v>148600</v>
      </c>
      <c r="Q44" s="178">
        <f t="shared" si="15"/>
        <v>160800</v>
      </c>
      <c r="R44" s="178">
        <f t="shared" si="16"/>
        <v>178400</v>
      </c>
      <c r="S44" s="178">
        <f t="shared" si="17"/>
        <v>188100</v>
      </c>
      <c r="T44" s="178">
        <f t="shared" si="18"/>
        <v>199500</v>
      </c>
      <c r="U44" s="178"/>
      <c r="V44" s="178"/>
      <c r="W44" s="178"/>
      <c r="X44" s="178"/>
      <c r="Y44" s="178"/>
      <c r="Z44" s="178"/>
      <c r="AA44" s="235"/>
    </row>
    <row r="45" spans="1:27" s="176" customFormat="1" ht="15.75">
      <c r="A45" s="235"/>
      <c r="B45" s="174">
        <v>35</v>
      </c>
      <c r="C45" s="178">
        <f t="shared" si="1"/>
        <v>48500</v>
      </c>
      <c r="D45" s="178">
        <f t="shared" si="2"/>
        <v>48900</v>
      </c>
      <c r="E45" s="178">
        <f t="shared" si="3"/>
        <v>50000</v>
      </c>
      <c r="F45" s="178">
        <f t="shared" si="4"/>
        <v>52400</v>
      </c>
      <c r="G45" s="178">
        <f t="shared" si="5"/>
        <v>56800</v>
      </c>
      <c r="H45" s="178">
        <f t="shared" si="6"/>
        <v>58600</v>
      </c>
      <c r="I45" s="178">
        <f t="shared" si="7"/>
        <v>61400</v>
      </c>
      <c r="J45" s="178">
        <f t="shared" si="8"/>
        <v>72000</v>
      </c>
      <c r="K45" s="178">
        <f t="shared" si="9"/>
        <v>78700</v>
      </c>
      <c r="L45" s="178">
        <f t="shared" si="10"/>
        <v>92100</v>
      </c>
      <c r="M45" s="178">
        <f t="shared" si="11"/>
        <v>103200</v>
      </c>
      <c r="N45" s="178">
        <f t="shared" si="12"/>
        <v>120900</v>
      </c>
      <c r="O45" s="178">
        <f t="shared" si="13"/>
        <v>144800</v>
      </c>
      <c r="P45" s="178">
        <f t="shared" si="14"/>
        <v>153100</v>
      </c>
      <c r="Q45" s="178">
        <f t="shared" si="15"/>
        <v>165600</v>
      </c>
      <c r="R45" s="178">
        <f t="shared" si="16"/>
        <v>183800</v>
      </c>
      <c r="S45" s="178">
        <f t="shared" si="17"/>
        <v>193700</v>
      </c>
      <c r="T45" s="178"/>
      <c r="U45" s="178"/>
      <c r="V45" s="178"/>
      <c r="W45" s="178"/>
      <c r="X45" s="178"/>
      <c r="Y45" s="178"/>
      <c r="Z45" s="178"/>
      <c r="AA45" s="235"/>
    </row>
    <row r="46" spans="1:27" s="176" customFormat="1" ht="15.75">
      <c r="A46" s="235"/>
      <c r="B46" s="174">
        <v>36</v>
      </c>
      <c r="C46" s="178">
        <f t="shared" si="1"/>
        <v>50000</v>
      </c>
      <c r="D46" s="178">
        <f t="shared" si="2"/>
        <v>50400</v>
      </c>
      <c r="E46" s="178">
        <f t="shared" si="3"/>
        <v>51500</v>
      </c>
      <c r="F46" s="178">
        <f t="shared" si="4"/>
        <v>54000</v>
      </c>
      <c r="G46" s="178">
        <f t="shared" si="5"/>
        <v>58500</v>
      </c>
      <c r="H46" s="178">
        <f t="shared" si="6"/>
        <v>60400</v>
      </c>
      <c r="I46" s="178">
        <f t="shared" si="7"/>
        <v>63200</v>
      </c>
      <c r="J46" s="178">
        <f t="shared" si="8"/>
        <v>74200</v>
      </c>
      <c r="K46" s="178">
        <f t="shared" si="9"/>
        <v>81100</v>
      </c>
      <c r="L46" s="178">
        <f t="shared" si="10"/>
        <v>94900</v>
      </c>
      <c r="M46" s="178">
        <f t="shared" si="11"/>
        <v>106300</v>
      </c>
      <c r="N46" s="178">
        <f t="shared" si="12"/>
        <v>124500</v>
      </c>
      <c r="O46" s="178">
        <f t="shared" si="13"/>
        <v>149100</v>
      </c>
      <c r="P46" s="178">
        <f t="shared" si="14"/>
        <v>157700</v>
      </c>
      <c r="Q46" s="178">
        <f t="shared" si="15"/>
        <v>170600</v>
      </c>
      <c r="R46" s="178">
        <f t="shared" si="16"/>
        <v>189300</v>
      </c>
      <c r="S46" s="178">
        <f t="shared" si="17"/>
        <v>199500</v>
      </c>
      <c r="T46" s="178"/>
      <c r="U46" s="178"/>
      <c r="V46" s="178"/>
      <c r="W46" s="178"/>
      <c r="X46" s="178"/>
      <c r="Y46" s="178"/>
      <c r="Z46" s="178"/>
      <c r="AA46" s="235"/>
    </row>
    <row r="47" spans="1:27" s="176" customFormat="1" ht="15.75">
      <c r="A47" s="235"/>
      <c r="B47" s="174">
        <v>37</v>
      </c>
      <c r="C47" s="178">
        <f t="shared" si="1"/>
        <v>51500</v>
      </c>
      <c r="D47" s="178">
        <f t="shared" si="2"/>
        <v>51900</v>
      </c>
      <c r="E47" s="178">
        <f t="shared" si="3"/>
        <v>53000</v>
      </c>
      <c r="F47" s="178">
        <f t="shared" si="4"/>
        <v>55600</v>
      </c>
      <c r="G47" s="178">
        <f t="shared" si="5"/>
        <v>60300</v>
      </c>
      <c r="H47" s="178">
        <f t="shared" si="6"/>
        <v>62200</v>
      </c>
      <c r="I47" s="178">
        <f t="shared" si="7"/>
        <v>65100</v>
      </c>
      <c r="J47" s="178">
        <f t="shared" si="8"/>
        <v>76400</v>
      </c>
      <c r="K47" s="178">
        <f t="shared" si="9"/>
        <v>83500</v>
      </c>
      <c r="L47" s="178">
        <f t="shared" si="10"/>
        <v>97700</v>
      </c>
      <c r="M47" s="178">
        <f t="shared" si="11"/>
        <v>109500</v>
      </c>
      <c r="N47" s="178">
        <f t="shared" si="12"/>
        <v>128200</v>
      </c>
      <c r="O47" s="178">
        <f t="shared" si="13"/>
        <v>153600</v>
      </c>
      <c r="P47" s="178">
        <f t="shared" si="14"/>
        <v>162400</v>
      </c>
      <c r="Q47" s="178">
        <f t="shared" si="15"/>
        <v>175700</v>
      </c>
      <c r="R47" s="178">
        <f t="shared" si="16"/>
        <v>195000</v>
      </c>
      <c r="S47" s="178"/>
      <c r="T47" s="178"/>
      <c r="U47" s="178"/>
      <c r="V47" s="178"/>
      <c r="W47" s="178"/>
      <c r="X47" s="178"/>
      <c r="Y47" s="178"/>
      <c r="Z47" s="178"/>
      <c r="AA47" s="235"/>
    </row>
    <row r="48" spans="1:27" s="176" customFormat="1" ht="15.75">
      <c r="A48" s="235"/>
      <c r="B48" s="174">
        <v>38</v>
      </c>
      <c r="C48" s="178">
        <f t="shared" si="1"/>
        <v>53000</v>
      </c>
      <c r="D48" s="178">
        <f t="shared" si="2"/>
        <v>53500</v>
      </c>
      <c r="E48" s="178">
        <f t="shared" si="3"/>
        <v>54600</v>
      </c>
      <c r="F48" s="178">
        <f t="shared" si="4"/>
        <v>57300</v>
      </c>
      <c r="G48" s="178">
        <f t="shared" si="5"/>
        <v>62100</v>
      </c>
      <c r="H48" s="178">
        <f t="shared" si="6"/>
        <v>64100</v>
      </c>
      <c r="I48" s="178">
        <f t="shared" si="7"/>
        <v>67100</v>
      </c>
      <c r="J48" s="178">
        <f t="shared" si="8"/>
        <v>78700</v>
      </c>
      <c r="K48" s="178">
        <f t="shared" si="9"/>
        <v>86000</v>
      </c>
      <c r="L48" s="178">
        <f t="shared" si="10"/>
        <v>100600</v>
      </c>
      <c r="M48" s="178">
        <f t="shared" si="11"/>
        <v>112800</v>
      </c>
      <c r="N48" s="178">
        <f t="shared" si="12"/>
        <v>132000</v>
      </c>
      <c r="O48" s="178">
        <f t="shared" si="13"/>
        <v>158200</v>
      </c>
      <c r="P48" s="178">
        <f t="shared" si="14"/>
        <v>167300</v>
      </c>
      <c r="Q48" s="178">
        <f t="shared" si="15"/>
        <v>181000</v>
      </c>
      <c r="R48" s="178"/>
      <c r="S48" s="178"/>
      <c r="T48" s="178"/>
      <c r="U48" s="178"/>
      <c r="V48" s="178"/>
      <c r="W48" s="178"/>
      <c r="X48" s="178"/>
      <c r="Y48" s="178"/>
      <c r="Z48" s="178"/>
      <c r="AA48" s="235"/>
    </row>
    <row r="49" spans="1:27" s="176" customFormat="1" ht="15.75">
      <c r="A49" s="235"/>
      <c r="B49" s="174">
        <v>39</v>
      </c>
      <c r="C49" s="178">
        <f t="shared" si="1"/>
        <v>54600</v>
      </c>
      <c r="D49" s="178">
        <f t="shared" si="2"/>
        <v>55100</v>
      </c>
      <c r="E49" s="178">
        <f t="shared" si="3"/>
        <v>56200</v>
      </c>
      <c r="F49" s="178">
        <f t="shared" si="4"/>
        <v>59000</v>
      </c>
      <c r="G49" s="178">
        <f t="shared" si="5"/>
        <v>64000</v>
      </c>
      <c r="H49" s="178">
        <f t="shared" si="6"/>
        <v>66000</v>
      </c>
      <c r="I49" s="178">
        <f t="shared" si="7"/>
        <v>69100</v>
      </c>
      <c r="J49" s="178">
        <f t="shared" si="8"/>
        <v>81100</v>
      </c>
      <c r="K49" s="178">
        <f t="shared" si="9"/>
        <v>88600</v>
      </c>
      <c r="L49" s="178">
        <f t="shared" si="10"/>
        <v>103600</v>
      </c>
      <c r="M49" s="178">
        <f t="shared" si="11"/>
        <v>116200</v>
      </c>
      <c r="N49" s="178">
        <f t="shared" si="12"/>
        <v>136000</v>
      </c>
      <c r="O49" s="178">
        <f t="shared" si="13"/>
        <v>162900</v>
      </c>
      <c r="P49" s="178">
        <f t="shared" si="14"/>
        <v>172300</v>
      </c>
      <c r="Q49" s="178">
        <f t="shared" si="15"/>
        <v>186400</v>
      </c>
      <c r="R49" s="178"/>
      <c r="S49" s="178"/>
      <c r="T49" s="178"/>
      <c r="U49" s="178"/>
      <c r="V49" s="178"/>
      <c r="W49" s="178"/>
      <c r="X49" s="178"/>
      <c r="Y49" s="178"/>
      <c r="Z49" s="178"/>
      <c r="AA49" s="235"/>
    </row>
    <row r="50" spans="1:27" s="176" customFormat="1" ht="15.75">
      <c r="A50" s="235"/>
      <c r="B50" s="174">
        <v>40</v>
      </c>
      <c r="C50" s="178">
        <f t="shared" si="1"/>
        <v>56200</v>
      </c>
      <c r="D50" s="178">
        <f t="shared" si="2"/>
        <v>56800</v>
      </c>
      <c r="E50" s="178">
        <f t="shared" si="3"/>
        <v>57900</v>
      </c>
      <c r="F50" s="178">
        <f t="shared" si="4"/>
        <v>60800</v>
      </c>
      <c r="G50" s="178">
        <f t="shared" si="5"/>
        <v>65900</v>
      </c>
      <c r="H50" s="178">
        <f t="shared" si="6"/>
        <v>68000</v>
      </c>
      <c r="I50" s="178">
        <f t="shared" si="7"/>
        <v>71200</v>
      </c>
      <c r="J50" s="178">
        <f t="shared" si="8"/>
        <v>83500</v>
      </c>
      <c r="K50" s="178">
        <f t="shared" si="9"/>
        <v>91300</v>
      </c>
      <c r="L50" s="178">
        <f t="shared" si="10"/>
        <v>106700</v>
      </c>
      <c r="M50" s="178">
        <f t="shared" si="11"/>
        <v>119700</v>
      </c>
      <c r="N50" s="178">
        <f t="shared" si="12"/>
        <v>140100</v>
      </c>
      <c r="O50" s="178">
        <f t="shared" si="13"/>
        <v>167800</v>
      </c>
      <c r="P50" s="178">
        <f t="shared" si="14"/>
        <v>177500</v>
      </c>
      <c r="Q50" s="178">
        <f t="shared" si="15"/>
        <v>192000</v>
      </c>
      <c r="R50" s="175"/>
      <c r="S50" s="175"/>
      <c r="T50" s="175"/>
      <c r="U50" s="175"/>
      <c r="V50" s="175"/>
      <c r="W50" s="175"/>
      <c r="X50" s="175"/>
      <c r="Y50" s="175"/>
      <c r="Z50" s="175"/>
      <c r="AA50" s="235"/>
    </row>
    <row r="51" spans="1:27">
      <c r="A51" s="43"/>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43"/>
    </row>
    <row r="52" spans="1:27"/>
    <row r="53" spans="1:27" hidden="1"/>
    <row r="54" spans="1:27" hidden="1"/>
    <row r="55" spans="1:27" hidden="1"/>
    <row r="56" spans="1:27" hidden="1"/>
    <row r="57" spans="1:27" hidden="1"/>
    <row r="58" spans="1:27" hidden="1">
      <c r="I58" s="5" t="e">
        <f>INDEX($C$10:$Z$50,MATCH('Master Sheet'!$K$31,'Pay Chart'!$L$11:$L$50,0),MATCH('Master Sheet'!$I$31,'Pay Chart'!$C$10:$Z$10,0))</f>
        <v>#N/A</v>
      </c>
      <c r="K58" s="5" t="e">
        <f>MATCH('Master Sheet'!$K$31,'Pay Chart'!$L$11:$L$50,0)</f>
        <v>#N/A</v>
      </c>
    </row>
    <row r="59" spans="1:27" hidden="1">
      <c r="I59" s="5">
        <f>INDEX($C$10:$Z$50,10,MATCH('Master Sheet'!$I$31,'Pay Chart'!$C$10:$Z$10,0))</f>
        <v>47900</v>
      </c>
      <c r="K59" s="5">
        <f>MATCH('Master Sheet'!$I$31,'Pay Chart'!$C$10:$Z$10,0)</f>
        <v>11</v>
      </c>
    </row>
    <row r="60" spans="1:27" hidden="1"/>
    <row r="61" spans="1:27" hidden="1"/>
    <row r="62" spans="1:27" hidden="1">
      <c r="I62" s="5" t="e">
        <f ca="1">OFFSET(B10,MATCH('DATA ENTRY'!C17,'Pay Chart'!$N$11:$N$50,0),MATCH('DATA ENTRY'!H17,'Pay Chart'!$C$10:$Z$10,0))</f>
        <v>#N/A</v>
      </c>
    </row>
    <row r="63" spans="1:27" hidden="1"/>
    <row r="64" spans="1:27" hidden="1">
      <c r="C64" s="67" t="str">
        <f>IFERROR(INDEX($C$10:$Z$50,MATCH('DATA ENTRY'!$C$15,'Pay Chart'!$C$11:$C$50,0)+1,MATCH('DATA ENTRY'!$H$15,'Pay Chart'!$C$10:$Z$10,0)),"")</f>
        <v/>
      </c>
      <c r="D64" s="67" t="str">
        <f>IFERROR(INDEX($C$10:$Z$50,MATCH('DATA ENTRY'!$C$15,'Pay Chart'!$D$11:$D$50,0)+1,MATCH('DATA ENTRY'!$H$15,'Pay Chart'!$C$10:$Z$10,0)),"")</f>
        <v/>
      </c>
      <c r="E64" s="67" t="str">
        <f>IFERROR(INDEX($C$10:$Z$50,MATCH('DATA ENTRY'!$C$15,'Pay Chart'!$E$11:$E$50,0)+1,MATCH('DATA ENTRY'!$H$15,'Pay Chart'!$C$10:$Z$10,0)),"")</f>
        <v/>
      </c>
      <c r="F64" s="67" t="str">
        <f>IFERROR(INDEX($C$10:$Z$50,MATCH('DATA ENTRY'!$C$15,'Pay Chart'!$F$11:$F$50,0)+1,MATCH('DATA ENTRY'!$H$15,'Pay Chart'!$C$10:$Z$10,0)),"")</f>
        <v/>
      </c>
      <c r="G64" s="67" t="str">
        <f>IFERROR(INDEX($C$10:$Z$50,MATCH('DATA ENTRY'!$C$15,'Pay Chart'!$G$11:$G$50,0)+1,MATCH('DATA ENTRY'!$H$15,'Pay Chart'!$C$10:$Z$10,0)),"")</f>
        <v/>
      </c>
      <c r="H64" s="67" t="str">
        <f>IFERROR(INDEX($C$10:$Z$50,MATCH('DATA ENTRY'!$C$15,'Pay Chart'!$H$11:$H$50,0)+1,MATCH('DATA ENTRY'!$H$15,'Pay Chart'!$C$10:$Z$10,0)),"")</f>
        <v/>
      </c>
      <c r="I64" s="67" t="str">
        <f>IFERROR(INDEX($C$10:$Z$50,MATCH('DATA ENTRY'!$C$15,'Pay Chart'!$I$11:$I$50,0)+1,MATCH('DATA ENTRY'!$H$15,'Pay Chart'!$C$10:$Z$10,0)),"")</f>
        <v/>
      </c>
      <c r="J64" s="67" t="str">
        <f>IFERROR(INDEX($C$10:$Z$50,MATCH('DATA ENTRY'!$C$15,'Pay Chart'!$J$11:$J$50,0)+1,MATCH('DATA ENTRY'!$H$15,'Pay Chart'!$C$10:$Z$10,0)),"")</f>
        <v/>
      </c>
      <c r="K64" s="67" t="str">
        <f>IFERROR(INDEX($C$10:$Z$50,MATCH('DATA ENTRY'!$C$15,'Pay Chart'!$K$11:$K$50,0)+1,MATCH('DATA ENTRY'!$H$15,'Pay Chart'!$C$10:$Z$10,0)),"")</f>
        <v/>
      </c>
      <c r="L64" s="67" t="str">
        <f>IFERROR(INDEX($C$10:$Z$50,MATCH('DATA ENTRY'!$C$15,'Pay Chart'!$L$11:$L$50,0)+1,MATCH('DATA ENTRY'!$H$15,'Pay Chart'!$C$10:$Z$10,0)),"")</f>
        <v/>
      </c>
      <c r="M64" s="67" t="str">
        <f>IFERROR(INDEX($C$10:$Z$50,MATCH('DATA ENTRY'!$C$15,'Pay Chart'!$M$11:$M$50,0)+1,MATCH('DATA ENTRY'!$H$15,'Pay Chart'!$C$10:$Z$10,0)),"")</f>
        <v/>
      </c>
      <c r="N64" s="67" t="str">
        <f>IFERROR(INDEX($C$10:$Z$50,MATCH('DATA ENTRY'!$C$15,'Pay Chart'!$N$11:$N$50,0)+1,MATCH('DATA ENTRY'!$H$15,'Pay Chart'!$C$10:$Z$10,0)),"")</f>
        <v/>
      </c>
      <c r="O64" s="67" t="str">
        <f>IFERROR(INDEX($C$10:$Z$50,MATCH('DATA ENTRY'!$C$15,'Pay Chart'!$O$11:$O$50,0)+1,MATCH('DATA ENTRY'!$H$15,'Pay Chart'!$C$10:$Z$10,0)),"")</f>
        <v/>
      </c>
      <c r="P64" s="67" t="str">
        <f>IFERROR(INDEX($C$10:$Z$50,MATCH('DATA ENTRY'!$C$15,'Pay Chart'!$P$11:$P$50,0)+1,MATCH('DATA ENTRY'!$H$15,'Pay Chart'!$C$10:$Z$10,0)),"")</f>
        <v/>
      </c>
      <c r="Q64" s="67" t="str">
        <f>IFERROR(INDEX($C$10:$Z$50,MATCH('DATA ENTRY'!$C$15,'Pay Chart'!$Q$11:$Q$50,0)+1,MATCH('DATA ENTRY'!$H$15,'Pay Chart'!$C$10:$Z$10,0)),"")</f>
        <v/>
      </c>
      <c r="R64" s="67" t="str">
        <f>IFERROR(INDEX($C$10:$Z$50,MATCH('DATA ENTRY'!$C$15,'Pay Chart'!$R$11:$R$50,0)+1,MATCH('DATA ENTRY'!$H$15,'Pay Chart'!$C$10:$Z$10,0)),"")</f>
        <v/>
      </c>
      <c r="S64" s="67" t="str">
        <f>IFERROR(INDEX($C$10:$Z$50,MATCH('DATA ENTRY'!$C$15,'Pay Chart'!$S$11:$S$50,0)+1,MATCH('DATA ENTRY'!$H$15,'Pay Chart'!$C$10:$Z$10,0)),"")</f>
        <v/>
      </c>
      <c r="T64" s="67" t="str">
        <f>IFERROR(INDEX($C$10:$Z$50,MATCH('DATA ENTRY'!$C$15,'Pay Chart'!$T$11:$T$50,0)+1,MATCH('DATA ENTRY'!$H$15,'Pay Chart'!$C$10:$Z$10,0)),"")</f>
        <v/>
      </c>
      <c r="U64" s="67" t="str">
        <f>IFERROR(INDEX($C$10:$Z$50,MATCH('DATA ENTRY'!$C$15,'Pay Chart'!$U$11:$U$50,0)+1,MATCH('DATA ENTRY'!$H$15,'Pay Chart'!$C$10:$Z$10,0)),"")</f>
        <v/>
      </c>
      <c r="V64" s="67" t="str">
        <f>IFERROR(INDEX($C$10:$Z$50,MATCH('DATA ENTRY'!$C$15,'Pay Chart'!$V$11:$V$50,0)+1,MATCH('DATA ENTRY'!$H$15,'Pay Chart'!$C$10:$Z$10,0)),"")</f>
        <v/>
      </c>
      <c r="W64" s="67" t="str">
        <f>IFERROR(INDEX($C$10:$Z$50,MATCH('DATA ENTRY'!$C$15,'Pay Chart'!$W$11:$W$50,0)+1,MATCH('DATA ENTRY'!$H$15,'Pay Chart'!$C$10:$Z$10,0)),"")</f>
        <v/>
      </c>
      <c r="X64" s="67" t="str">
        <f>IFERROR(INDEX($C$10:$Z$50,MATCH('DATA ENTRY'!$C$15,'Pay Chart'!$X$11:$X$50,0)+1,MATCH('DATA ENTRY'!$H$15,'Pay Chart'!$C$10:$Z$10,0)),"")</f>
        <v/>
      </c>
      <c r="Y64" s="67" t="str">
        <f>IFERROR(INDEX($C$10:$Z$50,MATCH('DATA ENTRY'!$C$15,'Pay Chart'!$Y$11:$Y$50,0)+1,MATCH('DATA ENTRY'!$H$15,'Pay Chart'!$C$10:$Z$10,0)),"")</f>
        <v/>
      </c>
      <c r="Z64" s="67" t="str">
        <f>IFERROR(INDEX($C$10:$Z$50,MATCH('DATA ENTRY'!$C$15,'Pay Chart'!$Z$11:$Z$50,0)+1,MATCH('DATA ENTRY'!$H$15,'Pay Chart'!$C$10:$Z$10,0)),"")</f>
        <v/>
      </c>
    </row>
    <row r="65" spans="3:26" hidden="1">
      <c r="C65" s="67" t="str">
        <f>IFERROR(INDEX($C$10:$Z$50,MATCH('DATA ENTRY'!$C$15,'Pay Chart'!$C$11:$C$50,0)+2,MATCH('DATA ENTRY'!$H$15,'Pay Chart'!$C$10:$Z$10,0)),"")</f>
        <v/>
      </c>
      <c r="D65" s="67" t="str">
        <f>IFERROR(INDEX($C$10:$Z$50,MATCH('DATA ENTRY'!$C$15,'Pay Chart'!$D$11:$D$50,0)+2,MATCH('DATA ENTRY'!$H$15,'Pay Chart'!$C$10:$Z$10,0)),"")</f>
        <v/>
      </c>
      <c r="E65" s="67" t="str">
        <f>IFERROR(INDEX($C$10:$Z$50,MATCH('DATA ENTRY'!$C$15,'Pay Chart'!$E$11:$E$50,0)+2,MATCH('DATA ENTRY'!$H$15,'Pay Chart'!$C$10:$Z$10,0)),"")</f>
        <v/>
      </c>
      <c r="F65" s="67" t="str">
        <f>IFERROR(INDEX($C$10:$Z$50,MATCH('DATA ENTRY'!$C$15,'Pay Chart'!$F$11:$F$50,0)+2,MATCH('DATA ENTRY'!$H$15,'Pay Chart'!$C$10:$Z$10,0)),"")</f>
        <v/>
      </c>
      <c r="G65" s="67" t="str">
        <f>IFERROR(INDEX($C$10:$Z$50,MATCH('DATA ENTRY'!$C$15,'Pay Chart'!$G$11:$G$50,0)+2,MATCH('DATA ENTRY'!$H$15,'Pay Chart'!$C$10:$Z$10,0)),"")</f>
        <v/>
      </c>
      <c r="H65" s="67" t="str">
        <f>IFERROR(INDEX($C$10:$Z$50,MATCH('DATA ENTRY'!$C$15,'Pay Chart'!$H$11:$H$50,0)+2,MATCH('DATA ENTRY'!$H$15,'Pay Chart'!$C$10:$Z$10,0)),"")</f>
        <v/>
      </c>
      <c r="I65" s="67" t="str">
        <f>IFERROR(INDEX($C$10:$Z$50,MATCH('DATA ENTRY'!$C$15,'Pay Chart'!$I$11:$I$50,0)+2,MATCH('DATA ENTRY'!$H$15,'Pay Chart'!$C$10:$Z$10,0)),"")</f>
        <v/>
      </c>
      <c r="J65" s="67" t="str">
        <f>IFERROR(INDEX($C$10:$Z$50,MATCH('DATA ENTRY'!$C$15,'Pay Chart'!$J$11:$J$50,0)+2,MATCH('DATA ENTRY'!$H$15,'Pay Chart'!$C$10:$Z$10,0)),"")</f>
        <v/>
      </c>
      <c r="K65" s="67" t="str">
        <f>IFERROR(INDEX($C$10:$Z$50,MATCH('DATA ENTRY'!$C$15,'Pay Chart'!$K$11:$K$50,0)+2,MATCH('DATA ENTRY'!$H$15,'Pay Chart'!$C$10:$Z$10,0)),"")</f>
        <v/>
      </c>
      <c r="L65" s="67" t="str">
        <f>IFERROR(INDEX($C$10:$Z$50,MATCH('DATA ENTRY'!$C$15,'Pay Chart'!$L$11:$L$50,0)+2,MATCH('DATA ENTRY'!$H$15,'Pay Chart'!$C$10:$Z$10,0)),"")</f>
        <v/>
      </c>
      <c r="M65" s="67" t="str">
        <f>IFERROR(INDEX($C$10:$Z$50,MATCH('DATA ENTRY'!$C$15,'Pay Chart'!$M$11:$M$50,0)+2,MATCH('DATA ENTRY'!$H$15,'Pay Chart'!$C$10:$Z$10,0)),"")</f>
        <v/>
      </c>
      <c r="N65" s="67" t="str">
        <f>IFERROR(INDEX($C$10:$Z$50,MATCH('DATA ENTRY'!$C$15,'Pay Chart'!$N$11:$N$50,0)+2,MATCH('DATA ENTRY'!$H$15,'Pay Chart'!$C$10:$Z$10,0)),"")</f>
        <v/>
      </c>
      <c r="O65" s="67" t="str">
        <f>IFERROR(INDEX($C$10:$Z$50,MATCH('DATA ENTRY'!$C$15,'Pay Chart'!$O$11:$O$50,0)+2,MATCH('DATA ENTRY'!$H$15,'Pay Chart'!$C$10:$Z$10,0)),"")</f>
        <v/>
      </c>
      <c r="P65" s="67" t="str">
        <f>IFERROR(INDEX($C$10:$Z$50,MATCH('DATA ENTRY'!$C$15,'Pay Chart'!$P$11:$P$50,0)+2,MATCH('DATA ENTRY'!$H$15,'Pay Chart'!$C$10:$Z$10,0)),"")</f>
        <v/>
      </c>
      <c r="Q65" s="67" t="str">
        <f>IFERROR(INDEX($C$10:$Z$50,MATCH('DATA ENTRY'!$C$15,'Pay Chart'!$Q$11:$Q$50,0)+2,MATCH('DATA ENTRY'!$H$15,'Pay Chart'!$C$10:$Z$10,0)),"")</f>
        <v/>
      </c>
      <c r="R65" s="67" t="str">
        <f>IFERROR(INDEX($C$10:$Z$50,MATCH('DATA ENTRY'!$C$15,'Pay Chart'!$R$11:$R$50,0)+2,MATCH('DATA ENTRY'!$H$15,'Pay Chart'!$C$10:$Z$10,0)),"")</f>
        <v/>
      </c>
      <c r="S65" s="67" t="str">
        <f>IFERROR(INDEX($C$10:$Z$50,MATCH('DATA ENTRY'!$C$15,'Pay Chart'!$S$11:$S$50,0)+2,MATCH('DATA ENTRY'!$H$15,'Pay Chart'!$C$10:$Z$10,0)),"")</f>
        <v/>
      </c>
      <c r="T65" s="67" t="str">
        <f>IFERROR(INDEX($C$10:$Z$50,MATCH('DATA ENTRY'!$C$15,'Pay Chart'!$T$11:$T$50,0)+2,MATCH('DATA ENTRY'!$H$15,'Pay Chart'!$C$10:$Z$10,0)),"")</f>
        <v/>
      </c>
      <c r="U65" s="67" t="str">
        <f>IFERROR(INDEX($C$10:$Z$50,MATCH('DATA ENTRY'!$C$15,'Pay Chart'!$U$11:$U$50,0)+2,MATCH('DATA ENTRY'!$H$15,'Pay Chart'!$C$10:$Z$10,0)),"")</f>
        <v/>
      </c>
      <c r="V65" s="67" t="str">
        <f>IFERROR(INDEX($C$10:$Z$50,MATCH('DATA ENTRY'!$C$15,'Pay Chart'!$V$11:$V$50,0)+2,MATCH('DATA ENTRY'!$H$15,'Pay Chart'!$C$10:$Z$10,0)),"")</f>
        <v/>
      </c>
      <c r="W65" s="67" t="str">
        <f>IFERROR(INDEX($C$10:$Z$50,MATCH('DATA ENTRY'!$C$15,'Pay Chart'!$W$11:$W$50,0)+2,MATCH('DATA ENTRY'!$H$15,'Pay Chart'!$C$10:$Z$10,0)),"")</f>
        <v/>
      </c>
      <c r="X65" s="67" t="str">
        <f>IFERROR(INDEX($C$10:$Z$50,MATCH('DATA ENTRY'!$C$15,'Pay Chart'!$X$11:$X$50,0)+2,MATCH('DATA ENTRY'!$H$15,'Pay Chart'!$C$10:$Z$10,0)),"")</f>
        <v/>
      </c>
      <c r="Y65" s="67" t="str">
        <f>IFERROR(INDEX($C$10:$Z$50,MATCH('DATA ENTRY'!$C$15,'Pay Chart'!$Y$11:$Y$50,0)+2,MATCH('DATA ENTRY'!$H$15,'Pay Chart'!$C$10:$Z$10,0)),"")</f>
        <v/>
      </c>
      <c r="Z65" s="67" t="str">
        <f>IFERROR(INDEX($C$10:$Z$50,MATCH('DATA ENTRY'!$C$15,'Pay Chart'!$Z$11:$Z$50,0)+2,MATCH('DATA ENTRY'!$H$15,'Pay Chart'!$C$10:$Z$10,0)),"")</f>
        <v/>
      </c>
    </row>
    <row r="66" spans="3:26" hidden="1"/>
    <row r="67" spans="3:26" hidden="1"/>
    <row r="68" spans="3:26" hidden="1">
      <c r="C68" s="67" t="str">
        <f>IFERROR(INDEX($C$10:$Z$50,MATCH(C65,'Pay Chart'!$D$11:$D$50,1)+2,MATCH('DATA ENTRY'!$H$17,'Pay Chart'!$C$10:$Z$10,0)),"")</f>
        <v/>
      </c>
      <c r="D68" s="67" t="str">
        <f>IFERROR(INDEX($C$10:$Z$50,MATCH(D65,'Pay Chart'!$E$11:$E$50,1)+2,MATCH('DATA ENTRY'!$H$17,'Pay Chart'!$C$10:$Z$10,0)),"")</f>
        <v/>
      </c>
      <c r="E68" s="67" t="str">
        <f>IFERROR(INDEX($C$10:$Z$50,MATCH(E65,'Pay Chart'!$F$11:$F$50,1)+2,MATCH('DATA ENTRY'!$H$17,'Pay Chart'!$C$10:$Z$10,0)),"")</f>
        <v/>
      </c>
      <c r="F68" s="67" t="str">
        <f>IFERROR(INDEX($C$10:$Z$50,MATCH(F65,'Pay Chart'!$G$11:$G$50,1)+2,MATCH('DATA ENTRY'!$H$17,'Pay Chart'!$C$10:$Z$10,0)),"")</f>
        <v/>
      </c>
      <c r="G68" s="67" t="str">
        <f>IFERROR(INDEX($C$10:$Z$50,MATCH(G65,'Pay Chart'!$H$11:$H$50,1)+2,MATCH('DATA ENTRY'!$H$17,'Pay Chart'!$C$10:$Z$10,0)),"")</f>
        <v/>
      </c>
      <c r="H68" s="67" t="str">
        <f>IFERROR(INDEX($C$10:$Z$50,MATCH(H65,'Pay Chart'!$I$11:$I$50,1)+2,MATCH('DATA ENTRY'!$H$17,'Pay Chart'!$C$10:$Z$10,0)),"")</f>
        <v/>
      </c>
      <c r="I68" s="67" t="str">
        <f>IFERROR(INDEX($C$10:$Z$50,MATCH(I65,'Pay Chart'!$J$11:$J$50,1)+2,MATCH('DATA ENTRY'!$H$17,'Pay Chart'!$C$10:$Z$10,0)),"")</f>
        <v/>
      </c>
      <c r="J68" s="67" t="str">
        <f>IFERROR(INDEX($C$10:$Z$50,MATCH(J65,'Pay Chart'!$K$11:$K$50,1)+2,MATCH('DATA ENTRY'!$H$17,'Pay Chart'!$C$10:$Z$10,0)),"")</f>
        <v/>
      </c>
      <c r="K68" s="67" t="str">
        <f>IFERROR(INDEX($C$10:$Z$50,MATCH(K65,'Pay Chart'!$L$11:$L$50,1)+2,MATCH('DATA ENTRY'!$H$17,'Pay Chart'!$C$10:$Z$10,0)),"")</f>
        <v/>
      </c>
      <c r="L68" s="67" t="str">
        <f>IFERROR(INDEX($C$10:$Z$50,MATCH(L65,'Pay Chart'!$M$11:$M$50,1)+2,MATCH('DATA ENTRY'!$H$17,'Pay Chart'!$C$10:$Z$10,0)),"")</f>
        <v/>
      </c>
      <c r="M68" s="67" t="str">
        <f>IFERROR(INDEX($C$10:$Z$50,MATCH(M65,'Pay Chart'!$N$11:$N$50,1)+2,MATCH('DATA ENTRY'!$H$17,'Pay Chart'!$C$10:$Z$10,0)),"")</f>
        <v/>
      </c>
      <c r="N68" s="67" t="str">
        <f>IFERROR(INDEX($C$10:$Z$50,MATCH(N65,'Pay Chart'!$O$11:$O$50,1)+2,MATCH('DATA ENTRY'!$H$17,'Pay Chart'!$C$10:$Z$10,0)),"")</f>
        <v/>
      </c>
      <c r="O68" s="67" t="str">
        <f>IFERROR(INDEX($C$10:$Z$50,MATCH(O65,'Pay Chart'!$P$11:$P$50,1)+2,MATCH('DATA ENTRY'!$H$17,'Pay Chart'!$C$10:$Z$10,0)),"")</f>
        <v/>
      </c>
      <c r="P68" s="67" t="str">
        <f>IFERROR(INDEX($C$10:$Z$50,MATCH(P65,'Pay Chart'!$Q$11:$Q$50,1)+2,MATCH('DATA ENTRY'!$H$17,'Pay Chart'!$C$10:$Z$10,0)),"")</f>
        <v/>
      </c>
      <c r="Q68" s="67" t="str">
        <f>IFERROR(INDEX($C$10:$Z$50,MATCH(Q65,'Pay Chart'!$R$11:$R$50,1)+2,MATCH('DATA ENTRY'!$H$17,'Pay Chart'!$C$10:$Z$10,0)),"")</f>
        <v/>
      </c>
      <c r="R68" s="67" t="str">
        <f>IFERROR(INDEX($C$10:$Z$50,MATCH(R65,'Pay Chart'!$S$11:$S$50,1)+2,MATCH('DATA ENTRY'!$H$17,'Pay Chart'!$C$10:$Z$10,0)),"")</f>
        <v/>
      </c>
      <c r="S68" s="67" t="str">
        <f>IFERROR(INDEX($C$10:$Z$50,MATCH(S65,'Pay Chart'!$T$11:$T$50,1)+2,MATCH('DATA ENTRY'!$H$17,'Pay Chart'!$C$10:$Z$10,0)),"")</f>
        <v/>
      </c>
      <c r="T68" s="67" t="str">
        <f>IFERROR(INDEX($C$10:$Z$50,MATCH(T65,'Pay Chart'!$U$11:$U$50,1)+2,MATCH('DATA ENTRY'!$H$17,'Pay Chart'!$C$10:$Z$10,0)),"")</f>
        <v/>
      </c>
      <c r="U68" s="67" t="str">
        <f>IFERROR(INDEX($C$10:$Z$50,MATCH(U65,'Pay Chart'!$V$11:$V$50,1)+2,MATCH('DATA ENTRY'!$H$17,'Pay Chart'!$C$10:$Z$10,0)),"")</f>
        <v/>
      </c>
      <c r="V68" s="67" t="str">
        <f>IFERROR(INDEX($C$10:$Z$50,MATCH(V65,'Pay Chart'!$W$11:$W$50,1)+2,MATCH('DATA ENTRY'!$H$17,'Pay Chart'!$C$10:$Z$10,0)),"")</f>
        <v/>
      </c>
      <c r="W68" s="67" t="str">
        <f>IFERROR(INDEX($C$10:$Z$50,MATCH(W65,'Pay Chart'!$X$11:$X$50,1)+2,MATCH('DATA ENTRY'!$H$17,'Pay Chart'!$C$10:$Z$10,0)),"")</f>
        <v/>
      </c>
      <c r="X68" s="67" t="str">
        <f>IFERROR(INDEX($C$10:$Z$50,MATCH(X65,'Pay Chart'!$Y$11:$Y$50,1)+2,MATCH('DATA ENTRY'!$H$17,'Pay Chart'!$C$10:$Z$10,0)),"")</f>
        <v/>
      </c>
      <c r="Y68" s="67" t="str">
        <f>IFERROR(INDEX($C$10:$Z$50,MATCH(Y65,'Pay Chart'!$Z$11:$Z$50,1)+2,MATCH('DATA ENTRY'!$H$17,'Pay Chart'!$C$10:$Z$10,0)),"")</f>
        <v/>
      </c>
      <c r="Z68" s="67" t="str">
        <f>IFERROR(INDEX($C$10:$Z$50,MATCH(Z65,'Pay Chart'!$AA$11:$AA$50,1)+2,MATCH('DATA ENTRY'!$H$17,'Pay Chart'!$C$10:$Z$10,0)),"")</f>
        <v/>
      </c>
    </row>
    <row r="69" spans="3:26" hidden="1">
      <c r="C69" s="67"/>
      <c r="D69" s="67"/>
      <c r="E69" s="67"/>
      <c r="F69" s="67"/>
      <c r="G69" s="67"/>
      <c r="H69" s="67"/>
      <c r="I69" s="67"/>
      <c r="J69" s="67" t="str">
        <f>IFERROR(INDEX($C$10:$Z$50,MATCH(J65,'Pay Chart'!$L$11:$L$50,1)+2,MATCH('DATA ENTRY'!$H$17,'Pay Chart'!$C$10:$Z$10,0)),"")</f>
        <v/>
      </c>
      <c r="K69" s="67"/>
      <c r="L69" s="67"/>
      <c r="M69" s="67"/>
      <c r="N69" s="67" t="str">
        <f>IFERROR(INDEX($C$10:$Z$50,MATCH(N65,'Pay Chart'!$P$11:$P$50,1)+2,MATCH('DATA ENTRY'!$H$17,'Pay Chart'!$C$10:$Z$10,0)),"")</f>
        <v/>
      </c>
      <c r="O69" s="67"/>
      <c r="P69" s="67" t="str">
        <f>IFERROR(INDEX($C$10:$Z$50,MATCH(P65,'Pay Chart'!$R$11:$R$50,1)+2,MATCH('DATA ENTRY'!$H$17,'Pay Chart'!$C$10:$Z$10,0)),"")</f>
        <v/>
      </c>
      <c r="Q69" s="67" t="str">
        <f>IFERROR(INDEX($C$10:$Z$50,MATCH('DATA ENTRY'!$C$15,'Pay Chart'!$R$11:$R$50,0)+2,MATCH('DATA ENTRY'!$H$15,'Pay Chart'!$C$10:$Z$10,0)),"")</f>
        <v/>
      </c>
      <c r="R69" s="67" t="str">
        <f>IFERROR(INDEX($C$10:$Z$50,MATCH(R65,'Pay Chart'!$T$11:$T$50,1)+2,MATCH('DATA ENTRY'!$H$17,'Pay Chart'!$C$10:$Z$10,0)),"")</f>
        <v/>
      </c>
      <c r="S69" s="67"/>
      <c r="T69" s="67"/>
      <c r="U69" s="67"/>
      <c r="V69" s="67"/>
      <c r="W69" s="67"/>
      <c r="X69" s="67"/>
      <c r="Y69" s="67"/>
      <c r="Z69" s="67"/>
    </row>
    <row r="70" spans="3:26" hidden="1">
      <c r="M70" s="5" t="e">
        <f>LOOKUP(M65,N8:N22)</f>
        <v>#N/A</v>
      </c>
    </row>
    <row r="71" spans="3:26" hidden="1">
      <c r="M71" s="5" t="e">
        <f ca="1">OFFSET(B10:Z50,MATCH(M65,C11:Z50,1),MATCH('DATA ENTRY'!H17,'Pay Chart'!C10:Z10,0))</f>
        <v>#N/A</v>
      </c>
      <c r="N71" s="5" t="e">
        <f>MATCH(M65,N11:N50,1)</f>
        <v>#N/A</v>
      </c>
    </row>
    <row r="72" spans="3:26" hidden="1">
      <c r="N72" s="5" t="e">
        <f>MATCH(M65,'Pay Chart'!$N$11:$N$50,1)+1</f>
        <v>#N/A</v>
      </c>
    </row>
    <row r="73" spans="3:26" hidden="1">
      <c r="N73" s="5" t="e">
        <f>INDEX($C$10:$Z$50,MATCH(M65,'Pay Chart'!$N$11:$N$50,1)+2,MATCH('DATA ENTRY'!$H$17,'Pay Chart'!$C$10:$Z$10,0))</f>
        <v>#N/A</v>
      </c>
    </row>
    <row r="74" spans="3:26" hidden="1"/>
  </sheetData>
  <sheetProtection password="C1FB" sheet="1" objects="1" scenarios="1" formatColumns="0" formatRows="0"/>
  <mergeCells count="11">
    <mergeCell ref="AA2:AA50"/>
    <mergeCell ref="B1:Z1"/>
    <mergeCell ref="A2:A50"/>
    <mergeCell ref="B51:Z51"/>
    <mergeCell ref="M3:P3"/>
    <mergeCell ref="B5:Z5"/>
    <mergeCell ref="C6:K6"/>
    <mergeCell ref="L6:O6"/>
    <mergeCell ref="P6:V6"/>
    <mergeCell ref="W6:Z6"/>
    <mergeCell ref="C2:U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002060"/>
    <pageSetUpPr fitToPage="1"/>
  </sheetPr>
  <dimension ref="B1:N36"/>
  <sheetViews>
    <sheetView showGridLines="0" showRowColHeaders="0" view="pageBreakPreview" zoomScaleSheetLayoutView="100" workbookViewId="0">
      <selection activeCell="I12" sqref="I12:K12"/>
    </sheetView>
  </sheetViews>
  <sheetFormatPr defaultRowHeight="15"/>
  <cols>
    <col min="1" max="1" width="5.5" style="5" customWidth="1"/>
    <col min="2" max="2" width="3.625" style="5" customWidth="1"/>
    <col min="3" max="3" width="4.625" style="5" customWidth="1"/>
    <col min="4" max="4" width="9.875" style="5" customWidth="1"/>
    <col min="5" max="5" width="9" style="5"/>
    <col min="6" max="6" width="9.875" style="5" customWidth="1"/>
    <col min="7" max="7" width="8.625" style="5" customWidth="1"/>
    <col min="8" max="8" width="10.875" style="5" customWidth="1"/>
    <col min="9" max="9" width="11.625" style="5" customWidth="1"/>
    <col min="10" max="10" width="12" style="5" customWidth="1"/>
    <col min="11" max="11" width="11.125" style="5" customWidth="1"/>
    <col min="12" max="13" width="9" style="5"/>
    <col min="14" max="14" width="19" style="5" customWidth="1"/>
    <col min="15" max="16384" width="9" style="5"/>
  </cols>
  <sheetData>
    <row r="1" spans="2:14" ht="11.25" customHeight="1">
      <c r="B1" s="46"/>
      <c r="C1" s="47"/>
      <c r="D1" s="47"/>
      <c r="E1" s="47"/>
      <c r="F1" s="47"/>
      <c r="G1" s="47"/>
      <c r="H1" s="47"/>
      <c r="I1" s="47"/>
      <c r="J1" s="47"/>
      <c r="K1" s="48"/>
    </row>
    <row r="2" spans="2:14" ht="18.75" customHeight="1">
      <c r="B2" s="49"/>
      <c r="C2" s="50"/>
      <c r="D2" s="262" t="s">
        <v>102</v>
      </c>
      <c r="E2" s="262"/>
      <c r="F2" s="262"/>
      <c r="G2" s="262"/>
      <c r="H2" s="262"/>
      <c r="I2" s="262"/>
      <c r="J2" s="262"/>
      <c r="K2" s="51"/>
    </row>
    <row r="3" spans="2:14">
      <c r="B3" s="49"/>
      <c r="C3" s="50"/>
      <c r="D3" s="50"/>
      <c r="E3" s="50"/>
      <c r="F3" s="50"/>
      <c r="G3" s="50"/>
      <c r="H3" s="50"/>
      <c r="I3" s="50"/>
      <c r="J3" s="50"/>
      <c r="K3" s="51"/>
    </row>
    <row r="4" spans="2:14" ht="21.95" customHeight="1">
      <c r="B4" s="49">
        <v>1</v>
      </c>
      <c r="C4" s="52" t="s">
        <v>110</v>
      </c>
      <c r="D4" s="267" t="str">
        <f>IF('DATA ENTRY'!H20='DATA ENTRY'!Z2,CONCATENATE(IF('Master Sheet'!D11="","",'Master Sheet'!D11),",  ",IF('Master Sheet'!N11="","",'Master Sheet'!N11)),"----------------------------")</f>
        <v>----------------------------</v>
      </c>
      <c r="E4" s="267"/>
      <c r="F4" s="267"/>
      <c r="G4" s="267"/>
      <c r="H4" s="242" t="s">
        <v>111</v>
      </c>
      <c r="I4" s="242"/>
      <c r="J4" s="242"/>
      <c r="K4" s="252"/>
    </row>
    <row r="5" spans="2:14" ht="21.95" customHeight="1">
      <c r="B5" s="49"/>
      <c r="C5" s="242" t="s">
        <v>112</v>
      </c>
      <c r="D5" s="242"/>
      <c r="E5" s="242"/>
      <c r="F5" s="242"/>
      <c r="G5" s="242"/>
      <c r="H5" s="242"/>
      <c r="I5" s="242"/>
      <c r="J5" s="242"/>
      <c r="K5" s="252"/>
      <c r="N5" s="161" t="s">
        <v>200</v>
      </c>
    </row>
    <row r="6" spans="2:14" ht="21.95" customHeight="1">
      <c r="B6" s="49"/>
      <c r="C6" s="242" t="s">
        <v>103</v>
      </c>
      <c r="D6" s="242"/>
      <c r="E6" s="242"/>
      <c r="F6" s="50"/>
      <c r="G6" s="50"/>
      <c r="H6" s="50"/>
      <c r="I6" s="50"/>
      <c r="J6" s="50"/>
      <c r="K6" s="51"/>
      <c r="N6" s="160" t="s">
        <v>201</v>
      </c>
    </row>
    <row r="7" spans="2:14" ht="9.75" customHeight="1">
      <c r="B7" s="49"/>
      <c r="C7" s="50"/>
      <c r="D7" s="50"/>
      <c r="E7" s="50"/>
      <c r="F7" s="50"/>
      <c r="G7" s="50"/>
      <c r="H7" s="50"/>
      <c r="I7" s="50"/>
      <c r="J7" s="50"/>
      <c r="K7" s="51"/>
    </row>
    <row r="8" spans="2:14" ht="21.95" customHeight="1">
      <c r="B8" s="49">
        <v>2</v>
      </c>
      <c r="C8" s="52" t="s">
        <v>110</v>
      </c>
      <c r="D8" s="267" t="str">
        <f>IF('DATA ENTRY'!H20='DATA ENTRY'!Z2,CONCATENATE(IF('Master Sheet'!D11="","",'Master Sheet'!D11),",  ",IF('Master Sheet'!N11="","",'Master Sheet'!N11)),"----------------------------")</f>
        <v>----------------------------</v>
      </c>
      <c r="E8" s="267"/>
      <c r="F8" s="267"/>
      <c r="G8" s="267"/>
      <c r="H8" s="248" t="s">
        <v>113</v>
      </c>
      <c r="I8" s="248"/>
      <c r="J8" s="248"/>
      <c r="K8" s="249"/>
    </row>
    <row r="9" spans="2:14" ht="21.95" customHeight="1">
      <c r="B9" s="49"/>
      <c r="C9" s="242" t="s">
        <v>114</v>
      </c>
      <c r="D9" s="242"/>
      <c r="E9" s="242"/>
      <c r="F9" s="242"/>
      <c r="G9" s="242"/>
      <c r="H9" s="242"/>
      <c r="I9" s="242"/>
      <c r="J9" s="242"/>
      <c r="K9" s="252"/>
    </row>
    <row r="10" spans="2:14" ht="21.95" customHeight="1">
      <c r="B10" s="49"/>
      <c r="C10" s="242" t="s">
        <v>115</v>
      </c>
      <c r="D10" s="242"/>
      <c r="E10" s="242"/>
      <c r="F10" s="242"/>
      <c r="G10" s="50"/>
      <c r="H10" s="50"/>
      <c r="I10" s="50"/>
      <c r="J10" s="50"/>
      <c r="K10" s="51"/>
    </row>
    <row r="11" spans="2:14" ht="11.25" customHeight="1">
      <c r="B11" s="49"/>
      <c r="C11" s="50"/>
      <c r="D11" s="50"/>
      <c r="E11" s="50"/>
      <c r="F11" s="50"/>
      <c r="G11" s="50"/>
      <c r="H11" s="50"/>
      <c r="I11" s="50"/>
      <c r="J11" s="50"/>
      <c r="K11" s="51"/>
    </row>
    <row r="12" spans="2:14" ht="21.95" customHeight="1">
      <c r="B12" s="49"/>
      <c r="C12" s="50"/>
      <c r="D12" s="50"/>
      <c r="E12" s="50"/>
      <c r="F12" s="50"/>
      <c r="G12" s="256" t="s">
        <v>116</v>
      </c>
      <c r="H12" s="256"/>
      <c r="I12" s="260"/>
      <c r="J12" s="260"/>
      <c r="K12" s="261"/>
    </row>
    <row r="13" spans="2:14" ht="21.95" customHeight="1">
      <c r="B13" s="49"/>
      <c r="C13" s="50"/>
      <c r="D13" s="50"/>
      <c r="E13" s="50"/>
      <c r="F13" s="50"/>
      <c r="G13" s="256" t="s">
        <v>104</v>
      </c>
      <c r="H13" s="256"/>
      <c r="I13" s="265" t="str">
        <f>IF('DATA ENTRY'!H20='DATA ENTRY'!Z2,IF('Master Sheet'!D11="","",'Master Sheet'!D11),"----------------------------")</f>
        <v>----------------------------</v>
      </c>
      <c r="J13" s="265"/>
      <c r="K13" s="266"/>
    </row>
    <row r="14" spans="2:14" ht="21.95" customHeight="1">
      <c r="B14" s="49"/>
      <c r="C14" s="50"/>
      <c r="D14" s="50"/>
      <c r="E14" s="50"/>
      <c r="F14" s="50"/>
      <c r="G14" s="256" t="s">
        <v>105</v>
      </c>
      <c r="H14" s="256"/>
      <c r="I14" s="265" t="str">
        <f>IF('DATA ENTRY'!H20='DATA ENTRY'!Z2,IF('Master Sheet'!N11="","",'Master Sheet'!N11),"----------------------------")</f>
        <v>----------------------------</v>
      </c>
      <c r="J14" s="265"/>
      <c r="K14" s="266"/>
    </row>
    <row r="15" spans="2:14" ht="21.95" customHeight="1">
      <c r="B15" s="49"/>
      <c r="C15" s="50"/>
      <c r="D15" s="50"/>
      <c r="E15" s="50"/>
      <c r="F15" s="257" t="s">
        <v>117</v>
      </c>
      <c r="G15" s="257"/>
      <c r="H15" s="257"/>
      <c r="I15" s="258" t="str">
        <f>IF('DATA ENTRY'!H20='DATA ENTRY'!Z2,IF('Master Sheet'!D7="","",'Master Sheet'!D7),"-------------------------------------------------------------------------------------------------------------------")</f>
        <v>-------------------------------------------------------------------------------------------------------------------</v>
      </c>
      <c r="J15" s="258"/>
      <c r="K15" s="259"/>
    </row>
    <row r="16" spans="2:14" ht="21.95" customHeight="1">
      <c r="B16" s="49"/>
      <c r="C16" s="50"/>
      <c r="D16" s="50"/>
      <c r="E16" s="50"/>
      <c r="F16" s="50"/>
      <c r="G16" s="50"/>
      <c r="H16" s="50"/>
      <c r="I16" s="258"/>
      <c r="J16" s="258"/>
      <c r="K16" s="259"/>
    </row>
    <row r="17" spans="2:11" ht="21.95" customHeight="1">
      <c r="B17" s="49"/>
      <c r="C17" s="50"/>
      <c r="D17" s="50"/>
      <c r="E17" s="263" t="s">
        <v>106</v>
      </c>
      <c r="F17" s="263"/>
      <c r="G17" s="263"/>
      <c r="H17" s="263"/>
      <c r="I17" s="263"/>
      <c r="J17" s="50"/>
      <c r="K17" s="51"/>
    </row>
    <row r="18" spans="2:11" ht="21.95" customHeight="1">
      <c r="B18" s="49"/>
      <c r="C18" s="257" t="s">
        <v>107</v>
      </c>
      <c r="D18" s="257"/>
      <c r="E18" s="257"/>
      <c r="F18" s="257"/>
      <c r="G18" s="257"/>
      <c r="H18" s="257"/>
      <c r="I18" s="257"/>
      <c r="J18" s="257"/>
      <c r="K18" s="264"/>
    </row>
    <row r="19" spans="2:11" ht="21.95" customHeight="1">
      <c r="B19" s="251" t="s">
        <v>119</v>
      </c>
      <c r="C19" s="242"/>
      <c r="D19" s="242"/>
      <c r="E19" s="242"/>
      <c r="F19" s="242"/>
      <c r="G19" s="242"/>
      <c r="H19" s="242"/>
      <c r="I19" s="242"/>
      <c r="J19" s="242"/>
      <c r="K19" s="252"/>
    </row>
    <row r="20" spans="2:11" ht="21.95" customHeight="1">
      <c r="B20" s="253" t="s">
        <v>118</v>
      </c>
      <c r="C20" s="254"/>
      <c r="D20" s="254"/>
      <c r="E20" s="254"/>
      <c r="F20" s="254"/>
      <c r="G20" s="254"/>
      <c r="H20" s="254"/>
      <c r="I20" s="254"/>
      <c r="J20" s="254"/>
      <c r="K20" s="255"/>
    </row>
    <row r="21" spans="2:11" ht="6.75" customHeight="1">
      <c r="B21" s="49"/>
      <c r="C21" s="50"/>
      <c r="D21" s="50"/>
      <c r="E21" s="50"/>
      <c r="F21" s="50"/>
      <c r="G21" s="50"/>
      <c r="H21" s="50"/>
      <c r="I21" s="50"/>
      <c r="J21" s="50"/>
      <c r="K21" s="51"/>
    </row>
    <row r="22" spans="2:11" ht="21.95" customHeight="1">
      <c r="B22" s="49"/>
      <c r="C22" s="50"/>
      <c r="D22" s="50"/>
      <c r="E22" s="50"/>
      <c r="F22" s="50"/>
      <c r="G22" s="256" t="s">
        <v>116</v>
      </c>
      <c r="H22" s="256"/>
      <c r="I22" s="260"/>
      <c r="J22" s="260"/>
      <c r="K22" s="261"/>
    </row>
    <row r="23" spans="2:11" ht="21.95" customHeight="1">
      <c r="B23" s="49"/>
      <c r="C23" s="50"/>
      <c r="D23" s="50"/>
      <c r="E23" s="50"/>
      <c r="F23" s="50"/>
      <c r="G23" s="256" t="s">
        <v>104</v>
      </c>
      <c r="H23" s="256"/>
      <c r="I23" s="265" t="str">
        <f>IF('DATA ENTRY'!H20='DATA ENTRY'!Z2,IF('Master Sheet'!D11="","",'Master Sheet'!D11),"----------------------------")</f>
        <v>----------------------------</v>
      </c>
      <c r="J23" s="265"/>
      <c r="K23" s="266"/>
    </row>
    <row r="24" spans="2:11" ht="21.95" customHeight="1">
      <c r="B24" s="49"/>
      <c r="C24" s="50"/>
      <c r="D24" s="50"/>
      <c r="E24" s="50"/>
      <c r="F24" s="50"/>
      <c r="G24" s="256" t="s">
        <v>105</v>
      </c>
      <c r="H24" s="256"/>
      <c r="I24" s="265" t="str">
        <f>IF('DATA ENTRY'!H20='DATA ENTRY'!Z2,IF('Master Sheet'!N11="","",'Master Sheet'!N11),"----------------------------")</f>
        <v>----------------------------</v>
      </c>
      <c r="J24" s="265"/>
      <c r="K24" s="266"/>
    </row>
    <row r="25" spans="2:11" ht="21.95" customHeight="1">
      <c r="B25" s="49"/>
      <c r="C25" s="50"/>
      <c r="D25" s="50"/>
      <c r="E25" s="50"/>
      <c r="F25" s="257" t="s">
        <v>117</v>
      </c>
      <c r="G25" s="257"/>
      <c r="H25" s="257"/>
      <c r="I25" s="258" t="str">
        <f>IF('DATA ENTRY'!H20='DATA ENTRY'!Z2,IF('Master Sheet'!D7="","",'Master Sheet'!D7),"-------------------------------------------------------------------------------------------------------------------")</f>
        <v>-------------------------------------------------------------------------------------------------------------------</v>
      </c>
      <c r="J25" s="258"/>
      <c r="K25" s="259"/>
    </row>
    <row r="26" spans="2:11" ht="21.95" customHeight="1">
      <c r="B26" s="49"/>
      <c r="C26" s="50"/>
      <c r="D26" s="50"/>
      <c r="E26" s="50"/>
      <c r="F26" s="50"/>
      <c r="G26" s="50"/>
      <c r="H26" s="50"/>
      <c r="I26" s="258"/>
      <c r="J26" s="258"/>
      <c r="K26" s="259"/>
    </row>
    <row r="27" spans="2:11" ht="21.95" customHeight="1">
      <c r="B27" s="49"/>
      <c r="C27" s="50"/>
      <c r="D27" s="50"/>
      <c r="E27" s="50"/>
      <c r="F27" s="50"/>
      <c r="G27" s="256" t="s">
        <v>120</v>
      </c>
      <c r="H27" s="256"/>
      <c r="I27" s="268" t="str">
        <f ca="1">IF('DATA ENTRY'!H20='DATA ENTRY'!Z2,TODAY(),"-------------------")</f>
        <v>-------------------</v>
      </c>
      <c r="J27" s="268"/>
      <c r="K27" s="53"/>
    </row>
    <row r="28" spans="2:11" ht="21.95" customHeight="1">
      <c r="B28" s="49"/>
      <c r="C28" s="50"/>
      <c r="D28" s="50"/>
      <c r="E28" s="50"/>
      <c r="F28" s="50"/>
      <c r="G28" s="54"/>
      <c r="H28" s="54"/>
      <c r="I28" s="246"/>
      <c r="J28" s="246"/>
      <c r="K28" s="247"/>
    </row>
    <row r="29" spans="2:11" ht="21.95" customHeight="1">
      <c r="B29" s="245" t="s">
        <v>123</v>
      </c>
      <c r="C29" s="246"/>
      <c r="D29" s="246"/>
      <c r="E29" s="246"/>
      <c r="F29" s="246"/>
      <c r="G29" s="246"/>
      <c r="H29" s="246"/>
      <c r="I29" s="246"/>
      <c r="J29" s="246"/>
      <c r="K29" s="247"/>
    </row>
    <row r="30" spans="2:11" ht="12" customHeight="1">
      <c r="B30" s="58"/>
      <c r="C30" s="59"/>
      <c r="D30" s="59"/>
      <c r="E30" s="59"/>
      <c r="F30" s="59"/>
      <c r="G30" s="59"/>
      <c r="H30" s="59"/>
      <c r="I30" s="59"/>
      <c r="J30" s="59"/>
      <c r="K30" s="60"/>
    </row>
    <row r="31" spans="2:11" ht="18" customHeight="1">
      <c r="B31" s="251" t="s">
        <v>121</v>
      </c>
      <c r="C31" s="242"/>
      <c r="D31" s="268" t="str">
        <f ca="1">IF('DATA ENTRY'!H20='DATA ENTRY'!Z2,TODAY(),"-------------------")</f>
        <v>-------------------</v>
      </c>
      <c r="E31" s="268"/>
      <c r="F31" s="50"/>
      <c r="G31" s="50"/>
      <c r="H31" s="50"/>
      <c r="I31" s="50"/>
      <c r="J31" s="50"/>
      <c r="K31" s="51"/>
    </row>
    <row r="32" spans="2:11" ht="13.5" customHeight="1">
      <c r="B32" s="49"/>
      <c r="C32" s="50"/>
      <c r="D32" s="50"/>
      <c r="E32" s="50"/>
      <c r="F32" s="50"/>
      <c r="G32" s="50"/>
      <c r="H32" s="50"/>
      <c r="I32" s="50"/>
      <c r="J32" s="50"/>
      <c r="K32" s="51"/>
    </row>
    <row r="33" spans="2:11" ht="19.5" customHeight="1">
      <c r="B33" s="49"/>
      <c r="C33" s="50"/>
      <c r="D33" s="50"/>
      <c r="E33" s="50"/>
      <c r="F33" s="50"/>
      <c r="G33" s="250" t="s">
        <v>108</v>
      </c>
      <c r="H33" s="250"/>
      <c r="I33" s="250"/>
      <c r="J33" s="250"/>
      <c r="K33" s="51"/>
    </row>
    <row r="34" spans="2:11" ht="19.5" customHeight="1">
      <c r="B34" s="49"/>
      <c r="C34" s="50"/>
      <c r="D34" s="50"/>
      <c r="E34" s="50"/>
      <c r="F34" s="50"/>
      <c r="G34" s="50"/>
      <c r="H34" s="242" t="s">
        <v>122</v>
      </c>
      <c r="I34" s="242"/>
      <c r="J34" s="243" t="s">
        <v>125</v>
      </c>
      <c r="K34" s="244"/>
    </row>
    <row r="35" spans="2:11" ht="21.95" customHeight="1">
      <c r="B35" s="49"/>
      <c r="C35" s="50"/>
      <c r="D35" s="50"/>
      <c r="E35" s="50"/>
      <c r="F35" s="50"/>
      <c r="G35" s="50"/>
      <c r="H35" s="242" t="s">
        <v>109</v>
      </c>
      <c r="I35" s="242"/>
      <c r="J35" s="243" t="s">
        <v>125</v>
      </c>
      <c r="K35" s="244"/>
    </row>
    <row r="36" spans="2:11" ht="14.25" customHeight="1" thickBot="1">
      <c r="B36" s="55"/>
      <c r="C36" s="56"/>
      <c r="D36" s="56"/>
      <c r="E36" s="56"/>
      <c r="F36" s="56"/>
      <c r="G36" s="56"/>
      <c r="H36" s="56"/>
      <c r="I36" s="56"/>
      <c r="J36" s="56"/>
      <c r="K36" s="57"/>
    </row>
  </sheetData>
  <sheetProtection password="8DA4" sheet="1" objects="1" scenarios="1" formatColumns="0" formatRows="0" selectLockedCells="1"/>
  <mergeCells count="40">
    <mergeCell ref="I23:K23"/>
    <mergeCell ref="I24:K24"/>
    <mergeCell ref="I25:K26"/>
    <mergeCell ref="G27:H27"/>
    <mergeCell ref="B31:C31"/>
    <mergeCell ref="D31:E31"/>
    <mergeCell ref="I27:J27"/>
    <mergeCell ref="I28:K28"/>
    <mergeCell ref="D2:J2"/>
    <mergeCell ref="E17:I17"/>
    <mergeCell ref="C18:K18"/>
    <mergeCell ref="C9:K9"/>
    <mergeCell ref="C10:F10"/>
    <mergeCell ref="G12:H12"/>
    <mergeCell ref="G13:H13"/>
    <mergeCell ref="G14:H14"/>
    <mergeCell ref="I12:K12"/>
    <mergeCell ref="I13:K13"/>
    <mergeCell ref="I14:K14"/>
    <mergeCell ref="H4:K4"/>
    <mergeCell ref="D4:G4"/>
    <mergeCell ref="C5:K5"/>
    <mergeCell ref="C6:E6"/>
    <mergeCell ref="D8:G8"/>
    <mergeCell ref="H35:I35"/>
    <mergeCell ref="J35:K35"/>
    <mergeCell ref="B29:K29"/>
    <mergeCell ref="H8:K8"/>
    <mergeCell ref="G33:J33"/>
    <mergeCell ref="H34:I34"/>
    <mergeCell ref="J34:K34"/>
    <mergeCell ref="B19:K19"/>
    <mergeCell ref="B20:K20"/>
    <mergeCell ref="G22:H22"/>
    <mergeCell ref="G23:H23"/>
    <mergeCell ref="F15:H15"/>
    <mergeCell ref="I15:K16"/>
    <mergeCell ref="G24:H24"/>
    <mergeCell ref="F25:H25"/>
    <mergeCell ref="I22:K22"/>
  </mergeCells>
  <pageMargins left="0.7" right="0.45"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00FF00"/>
    <pageSetUpPr fitToPage="1"/>
  </sheetPr>
  <dimension ref="A1:Z30"/>
  <sheetViews>
    <sheetView showGridLines="0" view="pageBreakPreview" zoomScaleSheetLayoutView="100" workbookViewId="0">
      <selection activeCell="H22" sqref="H22"/>
    </sheetView>
  </sheetViews>
  <sheetFormatPr defaultRowHeight="15"/>
  <cols>
    <col min="1" max="1" width="8" style="5" customWidth="1"/>
    <col min="2" max="2" width="10.125" style="5" customWidth="1"/>
    <col min="3" max="3" width="12.5" style="5" customWidth="1"/>
    <col min="4" max="4" width="7.875" style="5" customWidth="1"/>
    <col min="5" max="5" width="6.75" style="5" customWidth="1"/>
    <col min="6" max="6" width="12.5" style="5" customWidth="1"/>
    <col min="7" max="7" width="9.25" style="5" customWidth="1"/>
    <col min="8" max="8" width="7.375" style="5" customWidth="1"/>
    <col min="9" max="9" width="10.75" style="5" customWidth="1"/>
    <col min="10" max="10" width="10.375" style="5" customWidth="1"/>
    <col min="11" max="11" width="7" style="5" customWidth="1"/>
    <col min="12" max="12" width="7.375" style="5" customWidth="1"/>
    <col min="13" max="13" width="7.5" style="5" customWidth="1"/>
    <col min="14" max="14" width="10.375" style="5" customWidth="1"/>
    <col min="15" max="15" width="10.25" style="5" customWidth="1"/>
    <col min="16" max="17" width="9" style="5"/>
    <col min="18" max="18" width="18.625" style="5" customWidth="1"/>
    <col min="19" max="25" width="9" style="5"/>
    <col min="26" max="26" width="0" style="5" hidden="1" customWidth="1"/>
    <col min="27" max="16384" width="9" style="5"/>
  </cols>
  <sheetData>
    <row r="1" spans="1:26" ht="8.25" customHeight="1"/>
    <row r="2" spans="1:26" ht="27" customHeight="1">
      <c r="A2" s="276" t="str">
        <f>CONCATENATE("कार्यालय , ",IF('Master Sheet'!D5="","",'Master Sheet'!D5))</f>
        <v>कार्यालय , महात्मा गाँधी राजकीय विद्यालय (अंग्रेजी माध्यम) बर, (ब्यावर)</v>
      </c>
      <c r="B2" s="276"/>
      <c r="C2" s="276"/>
      <c r="D2" s="276"/>
      <c r="E2" s="276"/>
      <c r="F2" s="276"/>
      <c r="G2" s="276"/>
      <c r="H2" s="276"/>
      <c r="I2" s="276"/>
      <c r="J2" s="276"/>
      <c r="K2" s="276"/>
      <c r="L2" s="276"/>
      <c r="M2" s="276"/>
      <c r="N2" s="276"/>
      <c r="O2" s="276"/>
      <c r="Z2" s="93">
        <f>IF('DATA ENTRY'!D13&lt;7,'DATA ENTRY'!E13,'DATA ENTRY'!E13+1)</f>
        <v>2025</v>
      </c>
    </row>
    <row r="3" spans="1:26" ht="8.25" customHeight="1"/>
    <row r="4" spans="1:26" ht="21" customHeight="1">
      <c r="A4" s="277" t="s">
        <v>75</v>
      </c>
      <c r="B4" s="277"/>
      <c r="C4" s="277"/>
      <c r="D4" s="277"/>
      <c r="E4" s="277"/>
      <c r="F4" s="277"/>
      <c r="G4" s="277"/>
      <c r="H4" s="277"/>
      <c r="I4" s="277"/>
      <c r="J4" s="277"/>
      <c r="K4" s="277"/>
      <c r="L4" s="277"/>
      <c r="M4" s="277"/>
      <c r="N4" s="277"/>
      <c r="O4" s="277"/>
    </row>
    <row r="5" spans="1:26" ht="5.25" customHeight="1">
      <c r="A5" s="68"/>
      <c r="B5" s="68"/>
      <c r="C5" s="68"/>
      <c r="D5" s="68"/>
      <c r="E5" s="68"/>
      <c r="F5" s="68"/>
      <c r="G5" s="68"/>
      <c r="H5" s="68"/>
      <c r="I5" s="68"/>
      <c r="J5" s="68"/>
      <c r="K5" s="68"/>
      <c r="L5" s="68"/>
      <c r="M5" s="68"/>
      <c r="N5" s="68"/>
      <c r="O5" s="68"/>
    </row>
    <row r="6" spans="1:26" ht="18" customHeight="1">
      <c r="B6" s="274" t="s">
        <v>84</v>
      </c>
      <c r="C6" s="274"/>
      <c r="D6" s="274"/>
      <c r="E6" s="274"/>
      <c r="F6" s="274"/>
      <c r="G6" s="274"/>
      <c r="H6" s="274"/>
      <c r="I6" s="274"/>
      <c r="J6" s="274"/>
      <c r="K6" s="274"/>
      <c r="L6" s="274"/>
      <c r="M6" s="274"/>
      <c r="N6" s="274"/>
      <c r="O6" s="274"/>
    </row>
    <row r="7" spans="1:26" ht="18" customHeight="1">
      <c r="A7" s="273" t="s">
        <v>85</v>
      </c>
      <c r="B7" s="273"/>
      <c r="C7" s="273"/>
      <c r="D7" s="273"/>
      <c r="E7" s="270"/>
      <c r="F7" s="270"/>
      <c r="G7" s="273" t="s">
        <v>76</v>
      </c>
      <c r="H7" s="273"/>
      <c r="I7" s="278"/>
      <c r="J7" s="278"/>
      <c r="K7" s="278"/>
      <c r="L7" s="278"/>
      <c r="M7" s="278"/>
      <c r="N7" s="18" t="s">
        <v>77</v>
      </c>
      <c r="O7" s="83"/>
    </row>
    <row r="8" spans="1:26" ht="18" customHeight="1">
      <c r="A8" s="273" t="s">
        <v>91</v>
      </c>
      <c r="B8" s="273"/>
      <c r="C8" s="273"/>
      <c r="D8" s="71" t="s">
        <v>86</v>
      </c>
      <c r="E8" s="273" t="s">
        <v>150</v>
      </c>
      <c r="F8" s="275"/>
      <c r="G8" s="275"/>
      <c r="H8" s="275"/>
      <c r="I8" s="275"/>
      <c r="J8" s="275"/>
      <c r="K8" s="275"/>
      <c r="L8" s="275"/>
      <c r="M8" s="275"/>
      <c r="N8" s="275"/>
      <c r="O8" s="275"/>
      <c r="R8" s="161" t="s">
        <v>200</v>
      </c>
    </row>
    <row r="9" spans="1:26" ht="18" customHeight="1">
      <c r="A9" s="272" t="s">
        <v>87</v>
      </c>
      <c r="B9" s="272"/>
      <c r="C9" s="272"/>
      <c r="D9" s="272"/>
      <c r="E9" s="272"/>
      <c r="F9" s="272"/>
      <c r="G9" s="272"/>
      <c r="H9" s="272"/>
      <c r="R9" s="160" t="s">
        <v>201</v>
      </c>
    </row>
    <row r="10" spans="1:26" ht="9" customHeight="1"/>
    <row r="11" spans="1:26" ht="41.25" customHeight="1">
      <c r="A11" s="269" t="s">
        <v>78</v>
      </c>
      <c r="B11" s="269" t="s">
        <v>79</v>
      </c>
      <c r="C11" s="269"/>
      <c r="D11" s="269" t="s">
        <v>80</v>
      </c>
      <c r="E11" s="269"/>
      <c r="F11" s="271" t="s">
        <v>81</v>
      </c>
      <c r="G11" s="271" t="s">
        <v>133</v>
      </c>
      <c r="H11" s="271" t="s">
        <v>82</v>
      </c>
      <c r="I11" s="271"/>
      <c r="J11" s="271" t="s">
        <v>143</v>
      </c>
      <c r="K11" s="271" t="s">
        <v>145</v>
      </c>
      <c r="L11" s="271"/>
      <c r="M11" s="271"/>
      <c r="N11" s="271" t="s">
        <v>89</v>
      </c>
      <c r="O11" s="271" t="s">
        <v>90</v>
      </c>
    </row>
    <row r="12" spans="1:26" ht="22.5" customHeight="1">
      <c r="A12" s="269"/>
      <c r="B12" s="269"/>
      <c r="C12" s="269"/>
      <c r="D12" s="269"/>
      <c r="E12" s="269"/>
      <c r="F12" s="271"/>
      <c r="G12" s="271"/>
      <c r="H12" s="66" t="s">
        <v>88</v>
      </c>
      <c r="I12" s="66" t="s">
        <v>83</v>
      </c>
      <c r="J12" s="271"/>
      <c r="K12" s="66" t="s">
        <v>88</v>
      </c>
      <c r="L12" s="269" t="s">
        <v>83</v>
      </c>
      <c r="M12" s="269"/>
      <c r="N12" s="271"/>
      <c r="O12" s="271"/>
    </row>
    <row r="13" spans="1:26" ht="21.95" customHeight="1">
      <c r="A13" s="73">
        <v>1</v>
      </c>
      <c r="B13" s="279" t="str">
        <f>IF('Master Sheet'!D11="","",'Master Sheet'!D11)</f>
        <v>HEERALAL JAT</v>
      </c>
      <c r="C13" s="280"/>
      <c r="D13" s="279" t="str">
        <f>IF('Master Sheet'!N11="","",'Master Sheet'!N11)</f>
        <v>Sr. Teacher</v>
      </c>
      <c r="E13" s="280"/>
      <c r="F13" s="86">
        <f>IF(AND('Master Sheet'!E13="",'Master Sheet'!G13="",'Master Sheet'!I13=""),"",DATE('Master Sheet'!I13,'Master Sheet'!G13,'Master Sheet'!E13))</f>
        <v>38718</v>
      </c>
      <c r="G13" s="87">
        <f>IF('DATA ENTRY'!H13="","",'DATA ENTRY'!H13)</f>
        <v>18</v>
      </c>
      <c r="H13" s="40" t="str">
        <f>IF('DATA ENTRY'!H15="","",'DATA ENTRY'!H15)</f>
        <v>L-11</v>
      </c>
      <c r="I13" s="87">
        <f>IF('DATA ENTRY'!C15="","",'DATA ENTRY'!C15)</f>
        <v>57200</v>
      </c>
      <c r="J13" s="86">
        <f>IF(AND('DATA ENTRY'!C13="",'DATA ENTRY'!D13="",'DATA ENTRY'!E13=""),"",DATE('DATA ENTRY'!E13,'DATA ENTRY'!D13,'DATA ENTRY'!C13))</f>
        <v>45497</v>
      </c>
      <c r="K13" s="40" t="str">
        <f>IF('DATA ENTRY'!H17="","",'DATA ENTRY'!H17)</f>
        <v>L-12</v>
      </c>
      <c r="L13" s="281">
        <f>IF('DATA ENTRY'!C17="","",'DATA ENTRY'!C17)</f>
        <v>59500</v>
      </c>
      <c r="M13" s="282"/>
      <c r="N13" s="86">
        <f>IF(L13="","",DATE(Z2,7,1))</f>
        <v>45839</v>
      </c>
      <c r="O13" s="87">
        <f>IF(L13="","",MROUND(L13*1.03,100))</f>
        <v>61300</v>
      </c>
    </row>
    <row r="14" spans="1:26" ht="21.95" customHeight="1">
      <c r="A14" s="73">
        <v>2</v>
      </c>
      <c r="B14" s="279"/>
      <c r="C14" s="280"/>
      <c r="D14" s="279"/>
      <c r="E14" s="280"/>
      <c r="F14" s="86"/>
      <c r="G14" s="84"/>
      <c r="H14" s="84"/>
      <c r="I14" s="84"/>
      <c r="J14" s="84"/>
      <c r="K14" s="84"/>
      <c r="L14" s="283"/>
      <c r="M14" s="283"/>
      <c r="N14" s="84"/>
      <c r="O14" s="74"/>
      <c r="P14" s="85"/>
    </row>
    <row r="15" spans="1:26" ht="21.95" customHeight="1">
      <c r="A15" s="73">
        <v>3</v>
      </c>
      <c r="B15" s="279"/>
      <c r="C15" s="280"/>
      <c r="D15" s="279"/>
      <c r="E15" s="280"/>
      <c r="F15" s="86"/>
      <c r="G15" s="84"/>
      <c r="H15" s="84"/>
      <c r="I15" s="84"/>
      <c r="J15" s="84"/>
      <c r="K15" s="84"/>
      <c r="L15" s="283"/>
      <c r="M15" s="283"/>
      <c r="N15" s="84"/>
      <c r="O15" s="74"/>
    </row>
    <row r="16" spans="1:26" ht="21.95" customHeight="1">
      <c r="A16" s="73">
        <v>4</v>
      </c>
      <c r="B16" s="279"/>
      <c r="C16" s="280"/>
      <c r="D16" s="279"/>
      <c r="E16" s="280"/>
      <c r="F16" s="86"/>
      <c r="G16" s="84"/>
      <c r="H16" s="84"/>
      <c r="I16" s="84"/>
      <c r="J16" s="84"/>
      <c r="K16" s="84"/>
      <c r="L16" s="283"/>
      <c r="M16" s="283"/>
      <c r="N16" s="84"/>
      <c r="O16" s="74"/>
    </row>
    <row r="17" spans="1:15" ht="21.95" customHeight="1">
      <c r="A17" s="73">
        <v>5</v>
      </c>
      <c r="B17" s="279"/>
      <c r="C17" s="280"/>
      <c r="D17" s="279"/>
      <c r="E17" s="280"/>
      <c r="F17" s="86"/>
      <c r="G17" s="84"/>
      <c r="H17" s="84"/>
      <c r="I17" s="84"/>
      <c r="J17" s="84"/>
      <c r="K17" s="84"/>
      <c r="L17" s="283"/>
      <c r="M17" s="283"/>
      <c r="N17" s="84"/>
      <c r="O17" s="74"/>
    </row>
    <row r="18" spans="1:15" ht="5.25" customHeight="1"/>
    <row r="19" spans="1:15" ht="18.95" customHeight="1">
      <c r="A19" s="17" t="s">
        <v>92</v>
      </c>
      <c r="B19" s="272" t="s">
        <v>93</v>
      </c>
      <c r="C19" s="272"/>
      <c r="D19" s="272"/>
      <c r="E19" s="272"/>
      <c r="F19" s="272"/>
      <c r="G19" s="272"/>
      <c r="H19" s="272"/>
      <c r="I19" s="272"/>
      <c r="J19" s="272"/>
      <c r="K19" s="272"/>
      <c r="L19" s="272"/>
      <c r="M19" s="272"/>
      <c r="N19" s="272"/>
      <c r="O19" s="272"/>
    </row>
    <row r="20" spans="1:15" ht="28.5" customHeight="1">
      <c r="A20" s="75"/>
      <c r="B20" s="75"/>
      <c r="C20" s="75"/>
      <c r="D20" s="75"/>
      <c r="E20" s="75"/>
      <c r="F20" s="75"/>
      <c r="G20" s="75"/>
      <c r="H20" s="75"/>
      <c r="I20" s="75"/>
      <c r="M20" s="289" t="str">
        <f>CONCATENATE("( ",IF('Master Sheet'!D9="","",UPPER('Master Sheet'!D9))," ) ",)</f>
        <v xml:space="preserve">( USHA PALIYA ) </v>
      </c>
      <c r="N20" s="289"/>
      <c r="O20" s="289"/>
    </row>
    <row r="21" spans="1:15">
      <c r="A21" s="75"/>
      <c r="B21" s="75"/>
      <c r="C21" s="75"/>
      <c r="D21" s="75"/>
      <c r="E21" s="75"/>
      <c r="F21" s="75"/>
      <c r="G21" s="75"/>
      <c r="H21" s="75"/>
      <c r="I21" s="75"/>
      <c r="M21" s="284" t="str">
        <f>IF('Master Sheet'!N9="","",'Master Sheet'!N9)</f>
        <v>प्रधानाचार्य</v>
      </c>
      <c r="N21" s="284"/>
      <c r="O21" s="284"/>
    </row>
    <row r="22" spans="1:15">
      <c r="A22" s="76"/>
      <c r="B22" s="286"/>
      <c r="C22" s="286"/>
      <c r="D22" s="286"/>
      <c r="E22" s="286"/>
      <c r="F22" s="286"/>
      <c r="G22" s="76"/>
      <c r="H22" s="75"/>
      <c r="I22" s="75"/>
      <c r="M22" s="285" t="str">
        <f>CONCATENATE(IF('Master Sheet'!D5="","",UPPER('Master Sheet'!D5))," , ",IF('Master Sheet'!Q9="","",'Master Sheet'!Q9))</f>
        <v>महात्मा गाँधी राजकीय विद्यालय (अंग्रेजी माध्यम) बर, (ब्यावर) , 11111</v>
      </c>
      <c r="N22" s="285"/>
      <c r="O22" s="285"/>
    </row>
    <row r="23" spans="1:15">
      <c r="A23" s="77"/>
      <c r="B23" s="77"/>
      <c r="C23" s="77"/>
      <c r="D23" s="77"/>
      <c r="E23" s="77"/>
      <c r="F23" s="77"/>
      <c r="G23" s="77"/>
      <c r="H23" s="78"/>
      <c r="I23" s="78"/>
      <c r="J23" s="78"/>
      <c r="K23" s="78"/>
      <c r="L23" s="78"/>
      <c r="M23" s="285"/>
      <c r="N23" s="285"/>
      <c r="O23" s="285"/>
    </row>
    <row r="24" spans="1:15" ht="15.75">
      <c r="A24" s="79" t="s">
        <v>95</v>
      </c>
      <c r="B24" s="287"/>
      <c r="C24" s="287"/>
      <c r="D24" s="287"/>
      <c r="E24" s="287"/>
      <c r="F24" s="287"/>
      <c r="G24" s="79"/>
      <c r="H24" s="78"/>
      <c r="I24" s="78"/>
      <c r="J24" s="80" t="s">
        <v>98</v>
      </c>
      <c r="K24" s="288">
        <f ca="1">TODAY()</f>
        <v>45973</v>
      </c>
      <c r="L24" s="288"/>
    </row>
    <row r="25" spans="1:15" ht="17.25" customHeight="1">
      <c r="A25" s="290" t="s">
        <v>96</v>
      </c>
      <c r="B25" s="290"/>
      <c r="C25" s="290"/>
      <c r="D25" s="290"/>
      <c r="E25" s="290"/>
      <c r="F25" s="77"/>
      <c r="G25" s="77"/>
      <c r="H25" s="78"/>
      <c r="I25" s="78"/>
      <c r="J25" s="78"/>
      <c r="K25" s="78"/>
      <c r="L25" s="78"/>
    </row>
    <row r="26" spans="1:15">
      <c r="A26" s="81">
        <v>1</v>
      </c>
      <c r="B26" s="291" t="s">
        <v>99</v>
      </c>
      <c r="C26" s="291"/>
      <c r="D26" s="291"/>
      <c r="E26" s="292"/>
      <c r="F26" s="292"/>
      <c r="G26" s="78"/>
      <c r="H26" s="78"/>
      <c r="I26" s="78"/>
      <c r="J26" s="78"/>
      <c r="K26" s="78"/>
      <c r="L26" s="78"/>
    </row>
    <row r="27" spans="1:15">
      <c r="A27" s="81">
        <v>2</v>
      </c>
      <c r="B27" s="291" t="s">
        <v>97</v>
      </c>
      <c r="C27" s="291"/>
      <c r="D27" s="291"/>
      <c r="E27" s="82"/>
      <c r="F27" s="78"/>
      <c r="G27" s="78"/>
      <c r="H27" s="78"/>
      <c r="I27" s="78"/>
      <c r="J27" s="78"/>
      <c r="K27" s="78"/>
      <c r="L27" s="78"/>
      <c r="M27" s="289" t="str">
        <f>CONCATENATE("( ",IF('Master Sheet'!D9="","",UPPER('Master Sheet'!D9))," ) ",)</f>
        <v xml:space="preserve">( USHA PALIYA ) </v>
      </c>
      <c r="N27" s="289"/>
      <c r="O27" s="289"/>
    </row>
    <row r="28" spans="1:15">
      <c r="A28" s="81">
        <v>3</v>
      </c>
      <c r="B28" s="291" t="s">
        <v>101</v>
      </c>
      <c r="C28" s="291"/>
      <c r="D28" s="293" t="str">
        <f>CONCATENATE(IF('Master Sheet'!D11="","",'Master Sheet'!D11),",  ",IF('Master Sheet'!N11="","",'Master Sheet'!N11))</f>
        <v>HEERALAL JAT,  Sr. Teacher</v>
      </c>
      <c r="E28" s="293"/>
      <c r="F28" s="293"/>
      <c r="G28" s="293"/>
      <c r="H28" s="293"/>
      <c r="I28" s="78"/>
      <c r="J28" s="78"/>
      <c r="K28" s="78"/>
      <c r="L28" s="78"/>
      <c r="M28" s="284" t="str">
        <f>IF('Master Sheet'!N9="","",'Master Sheet'!N9)</f>
        <v>प्रधानाचार्य</v>
      </c>
      <c r="N28" s="284"/>
      <c r="O28" s="284"/>
    </row>
    <row r="29" spans="1:15">
      <c r="A29" s="81">
        <v>4</v>
      </c>
      <c r="B29" s="291" t="s">
        <v>100</v>
      </c>
      <c r="C29" s="291"/>
      <c r="D29" s="291"/>
      <c r="E29" s="293" t="str">
        <f>CONCATENATE(IF('Master Sheet'!D11="","",'Master Sheet'!D11),",  ",IF('Master Sheet'!N11="","",'Master Sheet'!N11))</f>
        <v>HEERALAL JAT,  Sr. Teacher</v>
      </c>
      <c r="F29" s="293"/>
      <c r="G29" s="293"/>
      <c r="H29" s="293"/>
      <c r="I29" s="293"/>
      <c r="J29" s="78"/>
      <c r="K29" s="78"/>
      <c r="L29" s="78"/>
      <c r="M29" s="285" t="str">
        <f>CONCATENATE(IF('Master Sheet'!D5="","",UPPER('Master Sheet'!D5))," , ",IF('Master Sheet'!Q9="","",'Master Sheet'!Q9))</f>
        <v>महात्मा गाँधी राजकीय विद्यालय (अंग्रेजी माध्यम) बर, (ब्यावर) , 11111</v>
      </c>
      <c r="N29" s="285"/>
      <c r="O29" s="285"/>
    </row>
    <row r="30" spans="1:15">
      <c r="A30" s="78"/>
      <c r="B30" s="78"/>
      <c r="C30" s="78"/>
      <c r="D30" s="78"/>
      <c r="E30" s="78"/>
      <c r="F30" s="78"/>
      <c r="G30" s="78"/>
      <c r="H30" s="78"/>
      <c r="I30" s="78"/>
      <c r="J30" s="78"/>
      <c r="K30" s="78"/>
      <c r="L30" s="78"/>
      <c r="M30" s="285"/>
      <c r="N30" s="285"/>
      <c r="O30" s="285"/>
    </row>
  </sheetData>
  <sheetProtection password="8DA4" sheet="1" objects="1" scenarios="1" formatColumns="0" formatRows="0"/>
  <mergeCells count="54">
    <mergeCell ref="M28:O28"/>
    <mergeCell ref="M29:O30"/>
    <mergeCell ref="A25:E25"/>
    <mergeCell ref="B26:D26"/>
    <mergeCell ref="E26:F26"/>
    <mergeCell ref="B27:D27"/>
    <mergeCell ref="B29:D29"/>
    <mergeCell ref="B28:C28"/>
    <mergeCell ref="D28:H28"/>
    <mergeCell ref="E29:I29"/>
    <mergeCell ref="M27:O27"/>
    <mergeCell ref="B19:O19"/>
    <mergeCell ref="M21:O21"/>
    <mergeCell ref="M22:O23"/>
    <mergeCell ref="B22:F22"/>
    <mergeCell ref="B24:F24"/>
    <mergeCell ref="K24:L24"/>
    <mergeCell ref="M20:O20"/>
    <mergeCell ref="B16:C16"/>
    <mergeCell ref="D16:E16"/>
    <mergeCell ref="L16:M16"/>
    <mergeCell ref="B17:C17"/>
    <mergeCell ref="D17:E17"/>
    <mergeCell ref="L17:M17"/>
    <mergeCell ref="B14:C14"/>
    <mergeCell ref="D14:E14"/>
    <mergeCell ref="L14:M14"/>
    <mergeCell ref="B15:C15"/>
    <mergeCell ref="D15:E15"/>
    <mergeCell ref="L15:M15"/>
    <mergeCell ref="N11:N12"/>
    <mergeCell ref="O11:O12"/>
    <mergeCell ref="B13:C13"/>
    <mergeCell ref="D13:E13"/>
    <mergeCell ref="L13:M13"/>
    <mergeCell ref="G11:G12"/>
    <mergeCell ref="H11:I11"/>
    <mergeCell ref="J11:J12"/>
    <mergeCell ref="K11:M11"/>
    <mergeCell ref="L12:M12"/>
    <mergeCell ref="B6:O6"/>
    <mergeCell ref="E8:O8"/>
    <mergeCell ref="A2:O2"/>
    <mergeCell ref="A4:O4"/>
    <mergeCell ref="G7:H7"/>
    <mergeCell ref="I7:M7"/>
    <mergeCell ref="A8:C8"/>
    <mergeCell ref="A11:A12"/>
    <mergeCell ref="E7:F7"/>
    <mergeCell ref="B11:C12"/>
    <mergeCell ref="D11:E12"/>
    <mergeCell ref="F11:F12"/>
    <mergeCell ref="A9:H9"/>
    <mergeCell ref="A7:D7"/>
  </mergeCells>
  <pageMargins left="0.45" right="0.2" top="0.25" bottom="0.2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rgb="FFC00000"/>
    <pageSetUpPr fitToPage="1"/>
  </sheetPr>
  <dimension ref="A1:Z31"/>
  <sheetViews>
    <sheetView showGridLines="0" view="pageBreakPreview" zoomScaleSheetLayoutView="100" workbookViewId="0">
      <selection activeCell="Q22" sqref="Q22"/>
    </sheetView>
  </sheetViews>
  <sheetFormatPr defaultRowHeight="15"/>
  <cols>
    <col min="1" max="1" width="8" style="5" customWidth="1"/>
    <col min="2" max="2" width="10.125" style="5" customWidth="1"/>
    <col min="3" max="3" width="12.5" style="5" customWidth="1"/>
    <col min="4" max="4" width="7.875" style="5" customWidth="1"/>
    <col min="5" max="5" width="6.75" style="5" customWidth="1"/>
    <col min="6" max="6" width="12.5" style="5" customWidth="1"/>
    <col min="7" max="7" width="9.25" style="5" customWidth="1"/>
    <col min="8" max="8" width="9.875" style="5" customWidth="1"/>
    <col min="9" max="9" width="7.375" style="5" customWidth="1"/>
    <col min="10" max="10" width="9.5" style="5" customWidth="1"/>
    <col min="11" max="11" width="10.375" style="5" customWidth="1"/>
    <col min="12" max="12" width="6.5" style="5" customWidth="1"/>
    <col min="13" max="13" width="8.5" style="5" customWidth="1"/>
    <col min="14" max="14" width="10.375" style="5" customWidth="1"/>
    <col min="15" max="15" width="9.75" style="5" customWidth="1"/>
    <col min="16" max="17" width="9" style="5"/>
    <col min="18" max="18" width="21" style="5" customWidth="1"/>
    <col min="19" max="25" width="9" style="5"/>
    <col min="26" max="26" width="9" style="5" hidden="1" customWidth="1"/>
    <col min="27" max="16384" width="9" style="5"/>
  </cols>
  <sheetData>
    <row r="1" spans="1:26" ht="8.25" customHeight="1"/>
    <row r="2" spans="1:26" ht="27.75" customHeight="1">
      <c r="A2" s="276" t="str">
        <f>CONCATENATE("कार्यालय , ",IF('Master Sheet'!D5="","",'Master Sheet'!D5))</f>
        <v>कार्यालय , महात्मा गाँधी राजकीय विद्यालय (अंग्रेजी माध्यम) बर, (ब्यावर)</v>
      </c>
      <c r="B2" s="276"/>
      <c r="C2" s="276"/>
      <c r="D2" s="276"/>
      <c r="E2" s="276"/>
      <c r="F2" s="276"/>
      <c r="G2" s="276"/>
      <c r="H2" s="276"/>
      <c r="I2" s="276"/>
      <c r="J2" s="276"/>
      <c r="K2" s="276"/>
      <c r="L2" s="276"/>
      <c r="M2" s="276"/>
      <c r="N2" s="276"/>
      <c r="O2" s="276"/>
      <c r="Z2" s="93">
        <f>IF('DATA ENTRY'!D29&lt;7,'DATA ENTRY'!E29,'DATA ENTRY'!E29+1)</f>
        <v>2023</v>
      </c>
    </row>
    <row r="3" spans="1:26" ht="8.25" customHeight="1"/>
    <row r="4" spans="1:26" ht="21" customHeight="1">
      <c r="A4" s="277" t="s">
        <v>75</v>
      </c>
      <c r="B4" s="277"/>
      <c r="C4" s="277"/>
      <c r="D4" s="277"/>
      <c r="E4" s="277"/>
      <c r="F4" s="277"/>
      <c r="G4" s="277"/>
      <c r="H4" s="277"/>
      <c r="I4" s="277"/>
      <c r="J4" s="277"/>
      <c r="K4" s="277"/>
      <c r="L4" s="277"/>
      <c r="M4" s="277"/>
      <c r="N4" s="277"/>
      <c r="O4" s="277"/>
    </row>
    <row r="5" spans="1:26" ht="5.25" customHeight="1">
      <c r="A5" s="68"/>
      <c r="B5" s="68"/>
      <c r="C5" s="68"/>
      <c r="D5" s="68"/>
      <c r="E5" s="68"/>
      <c r="F5" s="68"/>
      <c r="G5" s="68"/>
      <c r="H5" s="68"/>
      <c r="I5" s="68"/>
      <c r="J5" s="68"/>
      <c r="K5" s="68"/>
      <c r="L5" s="68"/>
      <c r="M5" s="68"/>
      <c r="N5" s="68"/>
      <c r="O5" s="68"/>
    </row>
    <row r="6" spans="1:26" ht="18" customHeight="1">
      <c r="B6" s="274" t="s">
        <v>84</v>
      </c>
      <c r="C6" s="274"/>
      <c r="D6" s="274"/>
      <c r="E6" s="274"/>
      <c r="F6" s="274"/>
      <c r="G6" s="274"/>
      <c r="H6" s="274"/>
      <c r="I6" s="274"/>
      <c r="J6" s="274"/>
      <c r="K6" s="274"/>
      <c r="L6" s="274"/>
      <c r="M6" s="274"/>
      <c r="N6" s="274"/>
      <c r="O6" s="274"/>
    </row>
    <row r="7" spans="1:26" ht="18" customHeight="1">
      <c r="A7" s="273" t="s">
        <v>85</v>
      </c>
      <c r="B7" s="273"/>
      <c r="C7" s="273"/>
      <c r="D7" s="273"/>
      <c r="E7" s="270"/>
      <c r="F7" s="270"/>
      <c r="G7" s="273" t="s">
        <v>76</v>
      </c>
      <c r="H7" s="273"/>
      <c r="I7" s="298"/>
      <c r="J7" s="298"/>
      <c r="K7" s="298"/>
      <c r="L7" s="298"/>
      <c r="M7" s="298"/>
      <c r="N7" s="70" t="s">
        <v>77</v>
      </c>
      <c r="O7" s="83"/>
    </row>
    <row r="8" spans="1:26" ht="18" customHeight="1">
      <c r="A8" s="273" t="s">
        <v>91</v>
      </c>
      <c r="B8" s="273"/>
      <c r="C8" s="273"/>
      <c r="D8" s="71" t="s">
        <v>86</v>
      </c>
      <c r="E8" s="273" t="s">
        <v>131</v>
      </c>
      <c r="F8" s="275"/>
      <c r="G8" s="275"/>
      <c r="H8" s="275"/>
      <c r="I8" s="275"/>
      <c r="J8" s="275"/>
      <c r="K8" s="275"/>
      <c r="L8" s="275"/>
      <c r="M8" s="275"/>
      <c r="N8" s="275"/>
      <c r="O8" s="275"/>
      <c r="R8" s="161" t="s">
        <v>200</v>
      </c>
    </row>
    <row r="9" spans="1:26" ht="18" customHeight="1">
      <c r="A9" s="294" t="s">
        <v>130</v>
      </c>
      <c r="B9" s="294"/>
      <c r="C9" s="294"/>
      <c r="D9" s="294"/>
      <c r="E9" s="294"/>
      <c r="F9" s="294"/>
      <c r="G9" s="294"/>
      <c r="H9" s="294"/>
      <c r="I9" s="294"/>
      <c r="J9" s="294"/>
      <c r="K9" s="294"/>
      <c r="L9" s="294"/>
      <c r="M9" s="294"/>
      <c r="N9" s="294"/>
      <c r="O9" s="294"/>
      <c r="R9" s="160" t="s">
        <v>201</v>
      </c>
    </row>
    <row r="10" spans="1:26" ht="18" customHeight="1">
      <c r="A10" s="272" t="s">
        <v>132</v>
      </c>
      <c r="B10" s="272"/>
      <c r="C10" s="272"/>
      <c r="D10" s="272"/>
      <c r="E10" s="272"/>
      <c r="F10" s="272"/>
      <c r="G10" s="272"/>
      <c r="H10" s="272"/>
      <c r="I10" s="272"/>
      <c r="J10" s="272"/>
      <c r="K10" s="272"/>
      <c r="L10" s="272"/>
      <c r="M10" s="272"/>
      <c r="N10" s="272"/>
    </row>
    <row r="11" spans="1:26" ht="9" customHeight="1"/>
    <row r="12" spans="1:26" ht="47.25" customHeight="1">
      <c r="A12" s="269" t="s">
        <v>78</v>
      </c>
      <c r="B12" s="269" t="s">
        <v>79</v>
      </c>
      <c r="C12" s="269"/>
      <c r="D12" s="269" t="s">
        <v>80</v>
      </c>
      <c r="E12" s="269"/>
      <c r="F12" s="271" t="s">
        <v>81</v>
      </c>
      <c r="G12" s="271" t="s">
        <v>133</v>
      </c>
      <c r="H12" s="295" t="s">
        <v>144</v>
      </c>
      <c r="I12" s="296"/>
      <c r="J12" s="297"/>
      <c r="K12" s="271" t="s">
        <v>143</v>
      </c>
      <c r="L12" s="271" t="s">
        <v>145</v>
      </c>
      <c r="M12" s="271"/>
      <c r="N12" s="271" t="s">
        <v>89</v>
      </c>
      <c r="O12" s="271" t="s">
        <v>90</v>
      </c>
    </row>
    <row r="13" spans="1:26" ht="21.75" customHeight="1">
      <c r="A13" s="269"/>
      <c r="B13" s="269"/>
      <c r="C13" s="269"/>
      <c r="D13" s="269"/>
      <c r="E13" s="269"/>
      <c r="F13" s="271"/>
      <c r="G13" s="271"/>
      <c r="H13" s="101" t="s">
        <v>134</v>
      </c>
      <c r="I13" s="72" t="s">
        <v>88</v>
      </c>
      <c r="J13" s="72" t="s">
        <v>83</v>
      </c>
      <c r="K13" s="271"/>
      <c r="L13" s="72" t="s">
        <v>88</v>
      </c>
      <c r="M13" s="98" t="s">
        <v>83</v>
      </c>
      <c r="N13" s="271"/>
      <c r="O13" s="271"/>
    </row>
    <row r="14" spans="1:26" ht="21.95" customHeight="1">
      <c r="A14" s="73">
        <v>1</v>
      </c>
      <c r="B14" s="279" t="str">
        <f>IF('Master Sheet'!D11="","",'Master Sheet'!D11)</f>
        <v>HEERALAL JAT</v>
      </c>
      <c r="C14" s="280"/>
      <c r="D14" s="279" t="str">
        <f>IF('Master Sheet'!N11="","",'Master Sheet'!N11)</f>
        <v>Sr. Teacher</v>
      </c>
      <c r="E14" s="280"/>
      <c r="F14" s="86">
        <f>IF(AND('Master Sheet'!E13="",'Master Sheet'!G13="",'Master Sheet'!I13=""),"",DATE('Master Sheet'!I13,'Master Sheet'!G13,'Master Sheet'!E13))</f>
        <v>38718</v>
      </c>
      <c r="G14" s="87">
        <f>IF('DATA ENTRY'!H13="","",'DATA ENTRY'!H13)</f>
        <v>18</v>
      </c>
      <c r="H14" s="86">
        <f>IF(AND('DATA ENTRY'!C23="",'DATA ENTRY'!D23="",'DATA ENTRY'!E23=""),"",DATE('DATA ENTRY'!E23,'DATA ENTRY'!D23,'DATA ENTRY'!C23))</f>
        <v>44841</v>
      </c>
      <c r="I14" s="100" t="str">
        <f>IF('DATA ENTRY'!H25="","",'DATA ENTRY'!H25)</f>
        <v>L-12</v>
      </c>
      <c r="J14" s="87">
        <f>IF('DATA ENTRY'!C25="","",'DATA ENTRY'!C25)</f>
        <v>59500</v>
      </c>
      <c r="K14" s="86">
        <f>IF(AND('DATA ENTRY'!C29="",'DATA ENTRY'!D29="",'DATA ENTRY'!E29=""),"",DATE('DATA ENTRY'!E29,'DATA ENTRY'!D29,'DATA ENTRY'!C29))</f>
        <v>45017</v>
      </c>
      <c r="L14" s="40" t="str">
        <f>IF('DATA ENTRY'!H27="","",'DATA ENTRY'!H27)</f>
        <v>L-14</v>
      </c>
      <c r="M14" s="97">
        <f>IF('DATA ENTRY'!C27="","",'DATA ENTRY'!C27)</f>
        <v>63100</v>
      </c>
      <c r="N14" s="86">
        <f>IF(M14="","",DATE(Z2,7,1))</f>
        <v>45108</v>
      </c>
      <c r="O14" s="87">
        <f>IF(M14="","",MROUND(M14*1.03,100))</f>
        <v>65000</v>
      </c>
    </row>
    <row r="15" spans="1:26" ht="21.95" customHeight="1">
      <c r="A15" s="73">
        <v>2</v>
      </c>
      <c r="B15" s="279"/>
      <c r="C15" s="280"/>
      <c r="D15" s="279"/>
      <c r="E15" s="280"/>
      <c r="F15" s="86"/>
      <c r="G15" s="84"/>
      <c r="H15" s="86"/>
      <c r="I15" s="84"/>
      <c r="J15" s="84"/>
      <c r="K15" s="84"/>
      <c r="L15" s="84"/>
      <c r="M15" s="96"/>
      <c r="N15" s="84"/>
      <c r="O15" s="74"/>
      <c r="P15" s="85"/>
    </row>
    <row r="16" spans="1:26" ht="21.95" customHeight="1">
      <c r="A16" s="73">
        <v>3</v>
      </c>
      <c r="B16" s="279"/>
      <c r="C16" s="280"/>
      <c r="D16" s="279"/>
      <c r="E16" s="280"/>
      <c r="F16" s="86"/>
      <c r="G16" s="84"/>
      <c r="H16" s="86"/>
      <c r="I16" s="84"/>
      <c r="J16" s="84"/>
      <c r="K16" s="84"/>
      <c r="L16" s="84"/>
      <c r="M16" s="96"/>
      <c r="N16" s="84"/>
      <c r="O16" s="74"/>
    </row>
    <row r="17" spans="1:15" ht="21.95" customHeight="1">
      <c r="A17" s="73">
        <v>4</v>
      </c>
      <c r="B17" s="279"/>
      <c r="C17" s="280"/>
      <c r="D17" s="279"/>
      <c r="E17" s="280"/>
      <c r="F17" s="86"/>
      <c r="G17" s="84"/>
      <c r="H17" s="86"/>
      <c r="I17" s="84"/>
      <c r="J17" s="84"/>
      <c r="K17" s="84"/>
      <c r="L17" s="84"/>
      <c r="M17" s="96"/>
      <c r="N17" s="84"/>
      <c r="O17" s="74"/>
    </row>
    <row r="18" spans="1:15" ht="21.95" customHeight="1">
      <c r="A18" s="73">
        <v>5</v>
      </c>
      <c r="B18" s="279"/>
      <c r="C18" s="280"/>
      <c r="D18" s="279"/>
      <c r="E18" s="280"/>
      <c r="F18" s="86"/>
      <c r="G18" s="84"/>
      <c r="H18" s="86"/>
      <c r="I18" s="84"/>
      <c r="J18" s="84"/>
      <c r="K18" s="84"/>
      <c r="L18" s="84"/>
      <c r="M18" s="96"/>
      <c r="N18" s="84"/>
      <c r="O18" s="74"/>
    </row>
    <row r="19" spans="1:15" ht="5.25" customHeight="1"/>
    <row r="20" spans="1:15" ht="23.25" customHeight="1">
      <c r="A20" s="69" t="s">
        <v>92</v>
      </c>
      <c r="B20" s="272" t="s">
        <v>93</v>
      </c>
      <c r="C20" s="272"/>
      <c r="D20" s="272"/>
      <c r="E20" s="272"/>
      <c r="F20" s="272"/>
      <c r="G20" s="272"/>
      <c r="H20" s="272"/>
      <c r="I20" s="272"/>
      <c r="J20" s="272"/>
      <c r="K20" s="272"/>
      <c r="L20" s="272"/>
      <c r="M20" s="272"/>
      <c r="N20" s="272"/>
      <c r="O20" s="272"/>
    </row>
    <row r="21" spans="1:15" ht="25.5" customHeight="1">
      <c r="A21" s="75"/>
      <c r="B21" s="75"/>
      <c r="C21" s="75"/>
      <c r="D21" s="75"/>
      <c r="E21" s="75"/>
      <c r="F21" s="75"/>
      <c r="G21" s="75"/>
      <c r="H21" s="75"/>
      <c r="I21" s="75"/>
      <c r="J21" s="75"/>
      <c r="L21" s="289" t="str">
        <f>CONCATENATE("( ",IF('Master Sheet'!D9="","",UPPER('Master Sheet'!D9))," ) ",)</f>
        <v xml:space="preserve">( USHA PALIYA ) </v>
      </c>
      <c r="M21" s="289"/>
      <c r="N21" s="289"/>
      <c r="O21" s="289"/>
    </row>
    <row r="22" spans="1:15">
      <c r="A22" s="75"/>
      <c r="B22" s="75"/>
      <c r="C22" s="75"/>
      <c r="D22" s="75"/>
      <c r="E22" s="75"/>
      <c r="F22" s="75"/>
      <c r="G22" s="75"/>
      <c r="H22" s="75"/>
      <c r="I22" s="75"/>
      <c r="J22" s="75"/>
      <c r="L22" s="284" t="s">
        <v>94</v>
      </c>
      <c r="M22" s="284"/>
      <c r="N22" s="284"/>
      <c r="O22" s="284"/>
    </row>
    <row r="23" spans="1:15">
      <c r="A23" s="76"/>
      <c r="B23" s="286"/>
      <c r="C23" s="286"/>
      <c r="D23" s="286"/>
      <c r="E23" s="286"/>
      <c r="F23" s="286"/>
      <c r="G23" s="76"/>
      <c r="H23" s="76"/>
      <c r="I23" s="75"/>
      <c r="J23" s="75"/>
      <c r="L23" s="285" t="str">
        <f>CONCATENATE(IF('Master Sheet'!D5="","",UPPER('Master Sheet'!D5))," , ",IF('Master Sheet'!Q9="","",'Master Sheet'!Q9))</f>
        <v>महात्मा गाँधी राजकीय विद्यालय (अंग्रेजी माध्यम) बर, (ब्यावर) , 11111</v>
      </c>
      <c r="M23" s="285"/>
      <c r="N23" s="285"/>
      <c r="O23" s="285"/>
    </row>
    <row r="24" spans="1:15">
      <c r="A24" s="77"/>
      <c r="B24" s="77"/>
      <c r="C24" s="77"/>
      <c r="D24" s="77"/>
      <c r="E24" s="77"/>
      <c r="F24" s="77"/>
      <c r="G24" s="77"/>
      <c r="H24" s="77"/>
      <c r="I24" s="78"/>
      <c r="J24" s="78"/>
      <c r="K24" s="78"/>
      <c r="L24" s="285"/>
      <c r="M24" s="285"/>
      <c r="N24" s="285"/>
      <c r="O24" s="285"/>
    </row>
    <row r="25" spans="1:15" ht="15.75">
      <c r="A25" s="79" t="s">
        <v>95</v>
      </c>
      <c r="B25" s="287"/>
      <c r="C25" s="287"/>
      <c r="D25" s="287"/>
      <c r="E25" s="287"/>
      <c r="F25" s="287"/>
      <c r="G25" s="79"/>
      <c r="H25" s="79"/>
      <c r="I25" s="78"/>
      <c r="J25" s="78"/>
      <c r="K25" s="80" t="s">
        <v>98</v>
      </c>
      <c r="L25" s="288">
        <f ca="1">TODAY()</f>
        <v>45973</v>
      </c>
      <c r="M25" s="288"/>
    </row>
    <row r="26" spans="1:15" ht="17.25" customHeight="1">
      <c r="A26" s="290" t="s">
        <v>96</v>
      </c>
      <c r="B26" s="290"/>
      <c r="C26" s="290"/>
      <c r="D26" s="290"/>
      <c r="E26" s="290"/>
      <c r="F26" s="77"/>
      <c r="G26" s="77"/>
      <c r="H26" s="77"/>
      <c r="I26" s="78"/>
      <c r="J26" s="78"/>
      <c r="K26" s="78"/>
      <c r="L26" s="78"/>
      <c r="M26" s="78"/>
    </row>
    <row r="27" spans="1:15">
      <c r="A27" s="81">
        <v>1</v>
      </c>
      <c r="B27" s="291" t="s">
        <v>99</v>
      </c>
      <c r="C27" s="291"/>
      <c r="D27" s="291"/>
      <c r="E27" s="292"/>
      <c r="F27" s="292"/>
      <c r="G27" s="78"/>
      <c r="H27" s="78"/>
      <c r="I27" s="78"/>
      <c r="J27" s="78"/>
      <c r="K27" s="78"/>
      <c r="L27" s="78"/>
      <c r="M27" s="78"/>
    </row>
    <row r="28" spans="1:15">
      <c r="A28" s="81">
        <v>2</v>
      </c>
      <c r="B28" s="291" t="s">
        <v>97</v>
      </c>
      <c r="C28" s="291"/>
      <c r="D28" s="291"/>
      <c r="E28" s="82"/>
      <c r="F28" s="78"/>
      <c r="G28" s="78"/>
      <c r="H28" s="78"/>
      <c r="I28" s="78"/>
      <c r="J28" s="78"/>
      <c r="K28" s="78"/>
      <c r="L28" s="289" t="str">
        <f>CONCATENATE("( ",IF('Master Sheet'!D9="","",UPPER('Master Sheet'!D9))," ) ",)</f>
        <v xml:space="preserve">( USHA PALIYA ) </v>
      </c>
      <c r="M28" s="289"/>
      <c r="N28" s="289"/>
      <c r="O28" s="289"/>
    </row>
    <row r="29" spans="1:15">
      <c r="A29" s="81">
        <v>3</v>
      </c>
      <c r="B29" s="291" t="s">
        <v>101</v>
      </c>
      <c r="C29" s="291"/>
      <c r="D29" s="293" t="str">
        <f>CONCATENATE(IF('Master Sheet'!D11="","",'Master Sheet'!D11),",  ",IF('Master Sheet'!N11="","",'Master Sheet'!N11))</f>
        <v>HEERALAL JAT,  Sr. Teacher</v>
      </c>
      <c r="E29" s="293"/>
      <c r="F29" s="293"/>
      <c r="G29" s="293"/>
      <c r="H29" s="293"/>
      <c r="I29" s="293"/>
      <c r="J29" s="78"/>
      <c r="K29" s="78"/>
      <c r="L29" s="284" t="s">
        <v>94</v>
      </c>
      <c r="M29" s="284"/>
      <c r="N29" s="284"/>
      <c r="O29" s="284"/>
    </row>
    <row r="30" spans="1:15">
      <c r="A30" s="81">
        <v>4</v>
      </c>
      <c r="B30" s="291" t="s">
        <v>100</v>
      </c>
      <c r="C30" s="291"/>
      <c r="D30" s="291"/>
      <c r="E30" s="293" t="str">
        <f>CONCATENATE(IF('Master Sheet'!D11="","",'Master Sheet'!D11),",  ",IF('Master Sheet'!N11="","",'Master Sheet'!N11))</f>
        <v>HEERALAL JAT,  Sr. Teacher</v>
      </c>
      <c r="F30" s="293"/>
      <c r="G30" s="293"/>
      <c r="H30" s="293"/>
      <c r="I30" s="293"/>
      <c r="J30" s="293"/>
      <c r="K30" s="78"/>
      <c r="L30" s="285" t="str">
        <f>CONCATENATE(IF('Master Sheet'!D5="","",UPPER('Master Sheet'!D5))," , ",IF('Master Sheet'!Q9="","",'Master Sheet'!Q9))</f>
        <v>महात्मा गाँधी राजकीय विद्यालय (अंग्रेजी माध्यम) बर, (ब्यावर) , 11111</v>
      </c>
      <c r="M30" s="285"/>
      <c r="N30" s="285"/>
      <c r="O30" s="285"/>
    </row>
    <row r="31" spans="1:15">
      <c r="A31" s="78"/>
      <c r="B31" s="78"/>
      <c r="C31" s="78"/>
      <c r="D31" s="78"/>
      <c r="E31" s="78"/>
      <c r="F31" s="78"/>
      <c r="G31" s="78"/>
      <c r="H31" s="78"/>
      <c r="I31" s="78"/>
      <c r="J31" s="78"/>
      <c r="K31" s="78"/>
      <c r="L31" s="285"/>
      <c r="M31" s="285"/>
      <c r="N31" s="285"/>
      <c r="O31" s="285"/>
    </row>
  </sheetData>
  <sheetProtection password="8DA4" sheet="1" objects="1" scenarios="1" formatColumns="0" formatRows="0"/>
  <mergeCells count="49">
    <mergeCell ref="A2:O2"/>
    <mergeCell ref="A4:O4"/>
    <mergeCell ref="B6:O6"/>
    <mergeCell ref="A7:D7"/>
    <mergeCell ref="E7:F7"/>
    <mergeCell ref="G7:H7"/>
    <mergeCell ref="I7:M7"/>
    <mergeCell ref="A8:C8"/>
    <mergeCell ref="E8:O8"/>
    <mergeCell ref="A12:A13"/>
    <mergeCell ref="B12:C13"/>
    <mergeCell ref="D12:E13"/>
    <mergeCell ref="F12:F13"/>
    <mergeCell ref="G12:G13"/>
    <mergeCell ref="K12:K13"/>
    <mergeCell ref="A9:O9"/>
    <mergeCell ref="A10:N10"/>
    <mergeCell ref="H12:J12"/>
    <mergeCell ref="L12:M12"/>
    <mergeCell ref="N12:N13"/>
    <mergeCell ref="O12:O13"/>
    <mergeCell ref="B14:C14"/>
    <mergeCell ref="D14:E14"/>
    <mergeCell ref="B15:C15"/>
    <mergeCell ref="D15:E15"/>
    <mergeCell ref="B16:C16"/>
    <mergeCell ref="D16:E16"/>
    <mergeCell ref="B17:C17"/>
    <mergeCell ref="D17:E17"/>
    <mergeCell ref="B18:C18"/>
    <mergeCell ref="D18:E18"/>
    <mergeCell ref="B25:F25"/>
    <mergeCell ref="B20:O20"/>
    <mergeCell ref="B23:F23"/>
    <mergeCell ref="L21:O21"/>
    <mergeCell ref="L22:O22"/>
    <mergeCell ref="L23:O24"/>
    <mergeCell ref="D29:I29"/>
    <mergeCell ref="L28:O28"/>
    <mergeCell ref="L29:O29"/>
    <mergeCell ref="L30:O31"/>
    <mergeCell ref="L25:M25"/>
    <mergeCell ref="B30:D30"/>
    <mergeCell ref="E30:J30"/>
    <mergeCell ref="A26:E26"/>
    <mergeCell ref="B27:D27"/>
    <mergeCell ref="E27:F27"/>
    <mergeCell ref="B28:D28"/>
    <mergeCell ref="B29:C29"/>
  </mergeCells>
  <pageMargins left="0.45" right="0.2" top="0.25" bottom="0.2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tabColor rgb="FFFFFF00"/>
    <pageSetUpPr fitToPage="1"/>
  </sheetPr>
  <dimension ref="A1:BX74"/>
  <sheetViews>
    <sheetView showGridLines="0" workbookViewId="0">
      <selection activeCell="BZ17" sqref="BZ17"/>
    </sheetView>
  </sheetViews>
  <sheetFormatPr defaultColWidth="9" defaultRowHeight="15" zeroHeight="1"/>
  <cols>
    <col min="1" max="1" width="3.75" style="5" customWidth="1"/>
    <col min="2" max="2" width="5" style="5" customWidth="1"/>
    <col min="3" max="3" width="9.875" style="5" customWidth="1"/>
    <col min="4" max="6" width="7.125" style="5" customWidth="1"/>
    <col min="7" max="7" width="7.625" style="5" customWidth="1"/>
    <col min="8" max="10" width="7.125" style="5" customWidth="1"/>
    <col min="11" max="11" width="7.625" style="5" customWidth="1"/>
    <col min="12" max="14" width="7.125" style="5" customWidth="1"/>
    <col min="15" max="15" width="7" style="5" customWidth="1"/>
    <col min="16" max="18" width="6.625" style="5" customWidth="1"/>
    <col min="19" max="24" width="5.625" style="5" customWidth="1"/>
    <col min="25" max="26" width="8.625" style="5" customWidth="1"/>
    <col min="27" max="47" width="9" style="5" customWidth="1"/>
    <col min="48" max="48" width="9" style="171" customWidth="1"/>
    <col min="49" max="54" width="9" style="115" hidden="1" customWidth="1"/>
    <col min="55" max="56" width="10.125" style="115" hidden="1" customWidth="1"/>
    <col min="57" max="72" width="9" style="115" hidden="1" customWidth="1"/>
    <col min="73" max="76" width="9" style="115" customWidth="1"/>
    <col min="77" max="16384" width="9" style="5"/>
  </cols>
  <sheetData>
    <row r="1" spans="1:66" ht="9.75" customHeight="1">
      <c r="A1" s="138"/>
      <c r="B1" s="139"/>
      <c r="C1" s="139"/>
      <c r="D1" s="139"/>
      <c r="E1" s="139"/>
      <c r="F1" s="139"/>
      <c r="G1" s="139"/>
      <c r="H1" s="139"/>
      <c r="I1" s="139"/>
      <c r="J1" s="139"/>
      <c r="K1" s="139"/>
      <c r="L1" s="139"/>
      <c r="M1" s="139"/>
      <c r="N1" s="139"/>
      <c r="O1" s="139"/>
      <c r="P1" s="139"/>
      <c r="Q1" s="139"/>
      <c r="R1" s="139"/>
      <c r="S1" s="139"/>
      <c r="T1" s="139"/>
      <c r="U1" s="139"/>
      <c r="V1" s="140"/>
      <c r="W1" s="140"/>
      <c r="X1" s="140"/>
      <c r="Y1" s="140"/>
      <c r="Z1" s="140"/>
      <c r="AA1" s="141"/>
    </row>
    <row r="2" spans="1:66" ht="24" customHeight="1">
      <c r="A2" s="142"/>
      <c r="B2" s="143"/>
      <c r="C2" s="143"/>
      <c r="D2" s="143"/>
      <c r="E2" s="143"/>
      <c r="F2" s="143"/>
      <c r="G2" s="143"/>
      <c r="H2" s="321" t="s">
        <v>166</v>
      </c>
      <c r="I2" s="321"/>
      <c r="J2" s="321"/>
      <c r="K2" s="321"/>
      <c r="L2" s="321"/>
      <c r="M2" s="321"/>
      <c r="N2" s="321"/>
      <c r="O2" s="321"/>
      <c r="P2" s="321"/>
      <c r="Q2" s="321"/>
      <c r="R2" s="321"/>
      <c r="S2" s="321"/>
      <c r="T2" s="321"/>
      <c r="U2" s="321"/>
      <c r="V2" s="144"/>
      <c r="W2" s="144">
        <f>IF(Q4="","",IF(Q4=1,31,IF(Q4=2,29,IF(Q4=3,31,IF(Q4=4,30,IF(Q4=5,31,IF(Q4=6,30,IF(Q4=7,31,IF(Q4=8,31,IF(Q4=9,30,IF(Q4=10,31,IF(Q4=11,30,IF(Q4=12,31,0)))))))))))))</f>
        <v>30</v>
      </c>
      <c r="X2" s="144">
        <f>IFERROR(IF(P4="",0,P4-1),"")</f>
        <v>23</v>
      </c>
      <c r="Y2" s="144">
        <f>IFERROR(IF('DATA ENTRY'!H20="YES",'DATA ENTRY'!C25,'DATA ENTRY'!C15),"")</f>
        <v>57200</v>
      </c>
      <c r="Z2" s="144">
        <f>IFERROR(IF('DATA ENTRY'!H20="YES",'DATA ENTRY'!C27,'DATA ENTRY'!C17),"")</f>
        <v>59500</v>
      </c>
      <c r="AA2" s="145"/>
    </row>
    <row r="3" spans="1:66" ht="12" customHeight="1">
      <c r="A3" s="142"/>
      <c r="B3" s="143"/>
      <c r="C3" s="143"/>
      <c r="D3" s="143"/>
      <c r="E3" s="143"/>
      <c r="F3" s="143"/>
      <c r="G3" s="143"/>
      <c r="H3" s="146"/>
      <c r="I3" s="146"/>
      <c r="J3" s="146"/>
      <c r="K3" s="146"/>
      <c r="L3" s="146"/>
      <c r="M3" s="146"/>
      <c r="N3" s="146"/>
      <c r="O3" s="146"/>
      <c r="P3" s="147" t="s">
        <v>18</v>
      </c>
      <c r="Q3" s="147" t="s">
        <v>19</v>
      </c>
      <c r="R3" s="147" t="s">
        <v>20</v>
      </c>
      <c r="S3" s="146"/>
      <c r="T3" s="146"/>
      <c r="U3" s="146"/>
      <c r="V3" s="144"/>
      <c r="W3" s="144"/>
      <c r="X3" s="144">
        <f>IFERROR(SUM(W2-X2),"")</f>
        <v>7</v>
      </c>
      <c r="Y3" s="144"/>
      <c r="Z3" s="144"/>
      <c r="AA3" s="145"/>
    </row>
    <row r="4" spans="1:66" ht="21" customHeight="1">
      <c r="A4" s="142"/>
      <c r="B4" s="302" t="s">
        <v>202</v>
      </c>
      <c r="C4" s="302"/>
      <c r="D4" s="302"/>
      <c r="E4" s="302"/>
      <c r="F4" s="302"/>
      <c r="G4" s="302"/>
      <c r="H4" s="146"/>
      <c r="I4" s="305" t="s">
        <v>169</v>
      </c>
      <c r="J4" s="305"/>
      <c r="K4" s="305"/>
      <c r="L4" s="305"/>
      <c r="M4" s="305"/>
      <c r="N4" s="305"/>
      <c r="O4" s="305"/>
      <c r="P4" s="187">
        <v>24</v>
      </c>
      <c r="Q4" s="187">
        <v>4</v>
      </c>
      <c r="R4" s="188">
        <v>2023</v>
      </c>
      <c r="S4" s="146"/>
      <c r="T4" s="146"/>
      <c r="U4" s="146"/>
      <c r="V4" s="144"/>
      <c r="W4" s="144"/>
      <c r="X4" s="144"/>
      <c r="Y4" s="144"/>
      <c r="Z4" s="148">
        <f>MONTH(P6)</f>
        <v>4</v>
      </c>
      <c r="AA4" s="145"/>
    </row>
    <row r="5" spans="1:66" ht="7.5" customHeight="1">
      <c r="A5" s="142"/>
      <c r="B5" s="143"/>
      <c r="C5" s="143"/>
      <c r="D5" s="143"/>
      <c r="E5" s="143"/>
      <c r="F5" s="143"/>
      <c r="G5" s="143"/>
      <c r="H5" s="146"/>
      <c r="I5" s="146"/>
      <c r="J5" s="180"/>
      <c r="K5" s="180"/>
      <c r="L5" s="180"/>
      <c r="M5" s="180"/>
      <c r="N5" s="180"/>
      <c r="O5" s="180"/>
      <c r="P5" s="146"/>
      <c r="Q5" s="146"/>
      <c r="R5" s="146"/>
      <c r="S5" s="146"/>
      <c r="T5" s="146"/>
      <c r="U5" s="146"/>
      <c r="V5" s="143"/>
      <c r="W5" s="143"/>
      <c r="X5" s="143"/>
      <c r="Y5" s="143"/>
      <c r="Z5" s="143"/>
      <c r="AA5" s="149"/>
    </row>
    <row r="6" spans="1:66" ht="21" customHeight="1">
      <c r="A6" s="142"/>
      <c r="B6" s="303" t="s">
        <v>203</v>
      </c>
      <c r="C6" s="304"/>
      <c r="D6" s="304"/>
      <c r="E6" s="304"/>
      <c r="F6" s="304"/>
      <c r="G6" s="304"/>
      <c r="H6" s="143"/>
      <c r="I6" s="143"/>
      <c r="J6" s="322" t="s">
        <v>167</v>
      </c>
      <c r="K6" s="322"/>
      <c r="L6" s="322"/>
      <c r="M6" s="322"/>
      <c r="N6" s="322"/>
      <c r="O6" s="322"/>
      <c r="P6" s="323">
        <v>45017</v>
      </c>
      <c r="Q6" s="323"/>
      <c r="R6" s="323"/>
      <c r="S6" s="150" t="str">
        <f>IF(Z4=Q4,"þ","ý")</f>
        <v>þ</v>
      </c>
      <c r="T6" s="299" t="s">
        <v>193</v>
      </c>
      <c r="U6" s="299"/>
      <c r="V6" s="299"/>
      <c r="W6" s="299"/>
      <c r="X6" s="299"/>
      <c r="Y6" s="299"/>
      <c r="Z6" s="143"/>
      <c r="AA6" s="149"/>
      <c r="BC6" s="133">
        <f>DATE(R4,Q4,1)</f>
        <v>45017</v>
      </c>
      <c r="BD6" s="134">
        <f>P6</f>
        <v>45017</v>
      </c>
    </row>
    <row r="7" spans="1:66" ht="8.25" customHeight="1">
      <c r="A7" s="142"/>
      <c r="B7" s="143"/>
      <c r="C7" s="143"/>
      <c r="D7" s="143"/>
      <c r="E7" s="143"/>
      <c r="F7" s="143"/>
      <c r="G7" s="143"/>
      <c r="H7" s="143"/>
      <c r="I7" s="143"/>
      <c r="J7" s="180"/>
      <c r="K7" s="180"/>
      <c r="L7" s="180"/>
      <c r="M7" s="180"/>
      <c r="N7" s="180"/>
      <c r="O7" s="143"/>
      <c r="P7" s="143"/>
      <c r="Q7" s="143"/>
      <c r="R7" s="143"/>
      <c r="S7" s="143"/>
      <c r="T7" s="143"/>
      <c r="U7" s="143"/>
      <c r="V7" s="143"/>
      <c r="W7" s="143"/>
      <c r="X7" s="143"/>
      <c r="Y7" s="143"/>
      <c r="Z7" s="143"/>
      <c r="AA7" s="149"/>
    </row>
    <row r="8" spans="1:66" ht="21" customHeight="1">
      <c r="A8" s="142"/>
      <c r="B8" s="143"/>
      <c r="C8" s="143"/>
      <c r="D8" s="143"/>
      <c r="E8" s="143"/>
      <c r="F8" s="143"/>
      <c r="G8" s="143"/>
      <c r="H8" s="143"/>
      <c r="I8" s="143"/>
      <c r="J8" s="324" t="s">
        <v>168</v>
      </c>
      <c r="K8" s="324"/>
      <c r="L8" s="324"/>
      <c r="M8" s="324"/>
      <c r="N8" s="324"/>
      <c r="O8" s="324"/>
      <c r="P8" s="323">
        <v>45992</v>
      </c>
      <c r="Q8" s="323"/>
      <c r="R8" s="323"/>
      <c r="S8" s="143"/>
      <c r="T8" s="143"/>
      <c r="U8" s="143"/>
      <c r="V8" s="143"/>
      <c r="W8" s="143"/>
      <c r="X8" s="143"/>
      <c r="Y8" s="143"/>
      <c r="Z8" s="143"/>
      <c r="AA8" s="149"/>
      <c r="BH8" s="115">
        <f>P10</f>
        <v>10</v>
      </c>
    </row>
    <row r="9" spans="1:66" ht="8.25" customHeight="1">
      <c r="A9" s="142"/>
      <c r="B9" s="143"/>
      <c r="C9" s="143"/>
      <c r="D9" s="143"/>
      <c r="E9" s="143"/>
      <c r="F9" s="143"/>
      <c r="G9" s="143"/>
      <c r="H9" s="143"/>
      <c r="I9" s="143"/>
      <c r="J9" s="180"/>
      <c r="K9" s="180"/>
      <c r="L9" s="180"/>
      <c r="M9" s="180"/>
      <c r="N9" s="180"/>
      <c r="O9" s="143"/>
      <c r="P9" s="143"/>
      <c r="Q9" s="143"/>
      <c r="R9" s="143"/>
      <c r="S9" s="143"/>
      <c r="T9" s="143"/>
      <c r="U9" s="143"/>
      <c r="V9" s="143"/>
      <c r="W9" s="143"/>
      <c r="X9" s="143"/>
      <c r="Y9" s="143"/>
      <c r="Z9" s="143"/>
      <c r="AA9" s="149"/>
    </row>
    <row r="10" spans="1:66" ht="21" customHeight="1">
      <c r="A10" s="142"/>
      <c r="B10" s="143"/>
      <c r="C10" s="143"/>
      <c r="D10" s="143"/>
      <c r="E10" s="143"/>
      <c r="F10" s="143"/>
      <c r="G10" s="143"/>
      <c r="H10" s="143"/>
      <c r="I10" s="143"/>
      <c r="J10" s="309" t="s">
        <v>170</v>
      </c>
      <c r="K10" s="309"/>
      <c r="L10" s="309"/>
      <c r="M10" s="309"/>
      <c r="N10" s="309"/>
      <c r="O10" s="309"/>
      <c r="P10" s="310">
        <v>10</v>
      </c>
      <c r="Q10" s="310"/>
      <c r="R10" s="310"/>
      <c r="S10" s="143"/>
      <c r="T10" s="143"/>
      <c r="U10" s="316" t="s">
        <v>172</v>
      </c>
      <c r="V10" s="316"/>
      <c r="W10" s="316"/>
      <c r="X10" s="187">
        <v>0</v>
      </c>
      <c r="Y10" s="143"/>
      <c r="Z10" s="143"/>
      <c r="AA10" s="149"/>
      <c r="BG10" s="115" t="s">
        <v>229</v>
      </c>
      <c r="BH10" s="115">
        <f>IFERROR(IF(BH8=10,9,18),"")</f>
        <v>9</v>
      </c>
    </row>
    <row r="11" spans="1:66" ht="19.5" customHeight="1">
      <c r="A11" s="142"/>
      <c r="B11" s="143"/>
      <c r="C11" s="143"/>
      <c r="D11" s="143"/>
      <c r="E11" s="143"/>
      <c r="F11" s="143"/>
      <c r="G11" s="143"/>
      <c r="H11" s="143"/>
      <c r="I11" s="143"/>
      <c r="J11" s="306" t="s">
        <v>228</v>
      </c>
      <c r="K11" s="306"/>
      <c r="L11" s="306"/>
      <c r="M11" s="306"/>
      <c r="N11" s="306"/>
      <c r="O11" s="306"/>
      <c r="P11" s="143"/>
      <c r="Q11" s="151">
        <f>COUNTA(P4,Q4,R4,P6,P8,P10)</f>
        <v>6</v>
      </c>
      <c r="R11" s="143"/>
      <c r="S11" s="143"/>
      <c r="T11" s="143"/>
      <c r="U11" s="143"/>
      <c r="V11" s="143"/>
      <c r="W11" s="143"/>
      <c r="X11" s="143"/>
      <c r="Y11" s="143"/>
      <c r="Z11" s="143"/>
      <c r="AA11" s="149"/>
    </row>
    <row r="12" spans="1:66" ht="18.75" customHeight="1">
      <c r="A12" s="142"/>
      <c r="B12" s="143"/>
      <c r="C12" s="301" t="s">
        <v>227</v>
      </c>
      <c r="D12" s="301"/>
      <c r="E12" s="301"/>
      <c r="F12" s="301"/>
      <c r="G12" s="301"/>
      <c r="H12" s="301"/>
      <c r="I12" s="301"/>
      <c r="J12" s="301"/>
      <c r="K12" s="185"/>
      <c r="L12" s="185"/>
      <c r="M12" s="185"/>
      <c r="N12" s="185"/>
      <c r="O12" s="300" t="str">
        <f>IF(Q11&gt;5,"Complete Entry","Insufficient Data")</f>
        <v>Complete Entry</v>
      </c>
      <c r="P12" s="300"/>
      <c r="Q12" s="300"/>
      <c r="R12" s="300"/>
      <c r="S12" s="300"/>
      <c r="T12" s="186"/>
      <c r="U12" s="185"/>
      <c r="V12" s="185"/>
      <c r="W12" s="185"/>
      <c r="X12" s="185"/>
      <c r="Y12" s="185"/>
      <c r="Z12" s="185"/>
      <c r="AA12" s="149"/>
      <c r="BH12" s="115">
        <f>IF(OR(BF15=BB15,BF15=BB16,BF15=BB17),42,46)</f>
        <v>42</v>
      </c>
    </row>
    <row r="13" spans="1:66" ht="18.75" customHeight="1" thickBot="1">
      <c r="A13" s="152"/>
      <c r="B13" s="189"/>
      <c r="C13" s="182"/>
      <c r="D13" s="315" t="s">
        <v>226</v>
      </c>
      <c r="E13" s="315"/>
      <c r="F13" s="315"/>
      <c r="G13" s="315"/>
      <c r="H13" s="315"/>
      <c r="I13" s="315"/>
      <c r="J13" s="315"/>
      <c r="K13" s="315"/>
      <c r="L13" s="315"/>
      <c r="M13" s="315"/>
      <c r="N13" s="153"/>
      <c r="O13" s="181"/>
      <c r="P13" s="181"/>
      <c r="Q13" s="181"/>
      <c r="R13" s="181"/>
      <c r="S13" s="181"/>
      <c r="T13" s="154"/>
      <c r="U13" s="153"/>
      <c r="V13" s="153"/>
      <c r="W13" s="153"/>
      <c r="X13" s="153"/>
      <c r="Y13" s="153"/>
      <c r="Z13" s="153"/>
      <c r="AA13" s="155"/>
    </row>
    <row r="14" spans="1:66" ht="9.75" customHeight="1">
      <c r="C14" s="75"/>
      <c r="D14" s="75"/>
      <c r="E14" s="75"/>
      <c r="F14" s="75"/>
      <c r="G14" s="75"/>
      <c r="H14" s="75"/>
      <c r="I14" s="75"/>
      <c r="J14" s="75"/>
      <c r="K14" s="75"/>
      <c r="L14" s="75"/>
      <c r="M14" s="75"/>
      <c r="N14" s="75"/>
      <c r="O14" s="75"/>
      <c r="P14" s="75"/>
      <c r="Q14" s="75"/>
      <c r="R14" s="75"/>
      <c r="S14" s="75"/>
      <c r="T14" s="75"/>
      <c r="U14" s="75"/>
      <c r="V14" s="75"/>
      <c r="W14" s="75"/>
      <c r="X14" s="75"/>
      <c r="Y14" s="75"/>
      <c r="Z14" s="75"/>
    </row>
    <row r="15" spans="1:66" ht="25.5">
      <c r="C15" s="333" t="str">
        <f>CONCATENATE("Office , ",IF('Master Sheet'!D7="","",'Master Sheet'!D7))</f>
        <v>Office , Mahatma Gandhi Government School (English Medium) Bar, (Beawar)</v>
      </c>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W15" s="171"/>
      <c r="AX15" s="171"/>
      <c r="AY15" s="115">
        <f>IF(OR(BF15=$BB$15,BF15=$BB$16,BF15=$BB$17),$BH$10,IF(OR(BF15=$BB$18,BF15=$BB$19,BF15=$BB$20,BF15=$BB$21,BF15=$BB$22,BF15=$BB$23),$BH$10,IF(OR(BF15=$BB$24,BF15=$BB$25,BF15=$BB$26,BF15=$BB$27,BF15=$BB$28,BF15=$BB$29),$BH$10,IF(OR(BF15=$BB$30,BF15=$BB$31,BF15=$BB$32,BF15=$BB$33),$BH$10,$BH$8))))</f>
        <v>9</v>
      </c>
      <c r="BA15" s="115">
        <f>IF(OR(BF15=$BB$15,BF15=$BB$16,BF15=$BB$17),42,IF(OR(BF15=$BB$18,BF15=$BB$19,BF15=$BB$20,BF15=$BB$21,BF15=$BB$22,BF15=$BB$23),46,IF(OR(BF15=$BB$24,BF15=$BB$25,BF15=$BB$26,BF15=$BB$27,BF15=$BB$28,BF15=$BB$29),50,IF(OR(BF15=$BB$30,BF15=$BB$31,BF15=$BB$32,BF15=$BB$33,BF15=$BB$34,BF15=$BB$35),53,IF(OR(BF15=$BB$36,BF15=$BB$37,BF15=$BB$38,BF15=$BB$39,BF15=$BB$40,BF15=$BB$41),55,58)))))</f>
        <v>42</v>
      </c>
      <c r="BB15" s="135">
        <v>45017</v>
      </c>
      <c r="BC15" s="134">
        <f>P6</f>
        <v>45017</v>
      </c>
      <c r="BD15" s="136">
        <f>IF(AND(BC15=""),"",IF(AND(BC15=$BB$26),$BB$26,IF(AND(BC15=$BB$27),$BB$27,IF(AND(BC15=$BB$15),$BB$15,IF(AND(BC15=$BB$16),$BB$16,IF(AND(BC15=$BB$17),$BB$17,IF(AND(BC15=$BB$18),$BB$18,IF(AND(BC15=$BB$19),$BB$19,IF(AND(BC15=$BB$20),$BB$20,IF(AND(BC15=$BB$21),$BB$21,IF(AND(BC15=$BB$22),$BB$22,IF(AND(BC15=$BB$23),$BB$23,IF(AND(BC15=$BB$24),$BB$24,IF(AND(BC15=$BB$25),$BB$25,IF(AND(BC15=$BB$28),$BB$28,IF(AND(BC15=$BB$29),$BB$29,IF(AND(BC15=$BB$30),$BB$30,IF(AND(BC15=$BB$31),$BB$31,IF(AND(BC15=$BB$32),$BB$32,IF(AND(BC15=$BB$33),$BB$33,IF(AND(BC15=$BB$34),$BB$34,IF(AND(BC15=$BB$35),$BB$35,IF(AND(BC15=$BB$36),$BB$36,IF(AND(BC15=$BB$37),$BB$37,IF(AND(BC15=$BB$38),$BB$38,IF(AND(BC15=$BB$39),$BB$39,IF(AND(BC15=$BB$40),$BB$40,IF(AND(BC15=$BB$41),$BB$41,IF(AND(BC15=$BB$42),$BB$42,IF(AND(BC15=$BB$43),$BB$43,IF(AND(BC15=$BB$44),$BB$44,IF(AND(BC15=$BB$45),$BB$45,IF(AND(BC15=$BB$46),$BB$46,IF(AND(BC15=$BB$47),$BB$47,IF(AND(BC15=$BB$48),$BB$48,IF(AND(BC15=$BB$49),$BB$49,""))))))))))))))))))))))))))))))))))))</f>
        <v>45017</v>
      </c>
      <c r="BE15" s="136">
        <f>IFERROR(IF(OR(BC15="",BD15=""),"",IF($BC$6=$BD$6,IF(BC15="",BD15,BC15),"")),"")</f>
        <v>45017</v>
      </c>
      <c r="BF15" s="136">
        <f>IF(BE15&gt;$P$8,"",BE15)</f>
        <v>45017</v>
      </c>
      <c r="BG15" s="115">
        <f>IF(C23="","",ROUND(($Z$2/$W$2)*$X$3,0))</f>
        <v>13883</v>
      </c>
      <c r="BH15" s="115">
        <f>IF(BG15="","",IF(C23="","",ROUND(BG15*BA15%,0)))</f>
        <v>5831</v>
      </c>
      <c r="BI15" s="115">
        <f>IF(BG15="","",IF(C23="","",ROUND(BG15*AY15%,0)))</f>
        <v>1249</v>
      </c>
      <c r="BJ15" s="115">
        <f>IF(C23="","",ROUND(($Y$2/$W$2)*$X$3,0))</f>
        <v>13347</v>
      </c>
      <c r="BK15" s="115">
        <f>IF(BJ15="","",IF(C23="","",ROUND(BJ15*BA15%,0)))</f>
        <v>5606</v>
      </c>
      <c r="BL15" s="115">
        <f>IF(BJ15="","",IF(C23="","",ROUND(BJ15*AY15%,0)))</f>
        <v>1201</v>
      </c>
      <c r="BM15" s="115" t="str">
        <f>IFERROR(IF(BG15="","",IF(OR(BF15=$BB$18,BF15=$BB$19,BF15=$BB$20,BF15=$BB$21),ROUND(BG15*4%,0),IF(OR(BF15=$BB$24,BF15=$BB$25),ROUND(BG15*4%,0),IF(OR(BF15=$BB$30,BF15=$BB$31,BF15=$BB$32,BF15=$BB$33),ROUND(BG15*3%,0),IF(OR(BF15=$BB$36,BF15=$BB$37),ROUND(BG15*2%,0),IF(OR(BF15=$BB$42,BF15=$BB$43,BF15=$BB$44),ROUND(BG15*3%,0),"")))))),"")</f>
        <v/>
      </c>
      <c r="BN15" s="115" t="str">
        <f>IFERROR(IF(BJ15="","",IF(OR(BF15=$BB$18,BF15=$BB$19,BF15=$BB$20,BF15=$BB$21),ROUND(BJ15*4%,0),IF(OR(BF15=$BB$24,BF15=$BB$25),ROUND(BJ15*4%,0),IF(OR(BF15=$BB$30,BF15=$BB$31,BF15=$BB$32,BF15=$BB$33),ROUND(BJ15*3%,0),IF(OR(BF15=$BB$36,BF15=$BB$37),ROUND(BJ15*2%,0),IF(OR(BF15=$BB$42,BF15=$BB$43,BF15=$BB$44),ROUND(BJ15*3%,0),"")))))),"")</f>
        <v/>
      </c>
    </row>
    <row r="16" spans="1:66" ht="23.25">
      <c r="C16" s="109"/>
      <c r="D16" s="109"/>
      <c r="E16" s="109"/>
      <c r="F16" s="109"/>
      <c r="G16" s="109"/>
      <c r="H16" s="109"/>
      <c r="I16" s="109"/>
      <c r="J16" s="312" t="s">
        <v>163</v>
      </c>
      <c r="K16" s="312"/>
      <c r="L16" s="312"/>
      <c r="M16" s="313">
        <f>P6</f>
        <v>45017</v>
      </c>
      <c r="N16" s="313"/>
      <c r="O16" s="313"/>
      <c r="P16" s="116" t="s">
        <v>162</v>
      </c>
      <c r="Q16" s="311">
        <f>P8</f>
        <v>45992</v>
      </c>
      <c r="R16" s="311"/>
      <c r="S16" s="311"/>
      <c r="T16" s="109"/>
      <c r="U16" s="109"/>
      <c r="V16" s="109"/>
      <c r="W16" s="109"/>
      <c r="X16" s="109"/>
      <c r="Y16" s="109"/>
      <c r="Z16" s="109"/>
      <c r="AW16" s="171"/>
      <c r="AX16" s="171"/>
      <c r="AY16" s="115">
        <f t="shared" ref="AY16:AY58" si="0">IF(OR(BF16=$BB$15,BF16=$BB$16,BF16=$BB$17),$BH$10,IF(OR(BF16=$BB$18,BF16=$BB$19,BF16=$BB$20,BF16=$BB$21,BF16=$BB$22,BF16=$BB$23),$BH$10,IF(OR(BF16=$BB$24,BF16=$BB$25,BF16=$BB$26,BF16=$BB$27,BF16=$BB$28,BF16=$BB$29),$BH$10,IF(OR(BF16=$BB$30,BF16=$BB$31,BF16=$BB$32,BF16=$BB$33),$BH$10,$BH$8))))</f>
        <v>9</v>
      </c>
      <c r="BA16" s="115">
        <f t="shared" ref="BA16:BA58" si="1">IF(OR(BF16=$BB$15,BF16=$BB$16,BF16=$BB$17),42,IF(OR(BF16=$BB$18,BF16=$BB$19,BF16=$BB$20,BF16=$BB$21,BF16=$BB$22,BF16=$BB$23),46,IF(OR(BF16=$BB$24,BF16=$BB$25,BF16=$BB$26,BF16=$BB$27,BF16=$BB$28,BF16=$BB$29),50,IF(OR(BF16=$BB$30,BF16=$BB$31,BF16=$BB$32,BF16=$BB$33,BF16=$BB$34,BF16=$BB$35),53,IF(OR(BF16=$BB$36,BF16=$BB$37,BF16=$BB$38,BF16=$BB$39,BF16=$BB$40,BF16=$BB$41),55,58)))))</f>
        <v>42</v>
      </c>
      <c r="BB16" s="135">
        <v>45047</v>
      </c>
      <c r="BC16" s="134">
        <f>IF(AND(BB16&gt;$P$8),"",DATE($R$4,($Q$4+1),1))</f>
        <v>45047</v>
      </c>
      <c r="BD16" s="136">
        <f t="shared" ref="BD16:BD59" si="2">IF(AND(BC16=""),"",IF(AND(BC16=$BB$26),$BB$26,IF(AND(BC16=$BB$27),$BB$27,IF(AND(BC16=$BB$15),$BB$15,IF(AND(BC16=$BB$16),$BB$16,IF(AND(BC16=$BB$17),$BB$17,IF(AND(BC16=$BB$18),$BB$18,IF(AND(BC16=$BB$19),$BB$19,IF(AND(BC16=$BB$20),$BB$20,IF(AND(BC16=$BB$21),$BB$21,IF(AND(BC16=$BB$22),$BB$22,IF(AND(BC16=$BB$23),$BB$23,IF(AND(BC16=$BB$24),$BB$24,IF(AND(BC16=$BB$25),$BB$25,IF(AND(BC16=$BB$28),$BB$28,IF(AND(BC16=$BB$29),$BB$29,IF(AND(BC16=$BB$30),$BB$30,IF(AND(BC16=$BB$31),$BB$31,IF(AND(BC16=$BB$32),$BB$32,IF(AND(BC16=$BB$33),$BB$33,IF(AND(BC16=$BB$34),$BB$34,IF(AND(BC16=$BB$35),$BB$35,IF(AND(BC16=$BB$36),$BB$36,IF(AND(BC16=$BB$37),$BB$37,IF(AND(BC16=$BB$38),$BB$38,IF(AND(BC16=$BB$39),$BB$39,IF(AND(BC16=$BB$40),$BB$40,IF(AND(BC16=$BB$41),$BB$41,IF(AND(BC16=$BB$42),$BB$42,IF(AND(BC16=$BB$43),$BB$43,IF(AND(BC16=$BB$44),$BB$44,IF(AND(BC16=$BB$45),$BB$45,IF(AND(BC16=$BB$46),$BB$46,IF(AND(BC16=$BB$47),$BB$47,IF(AND(BC16=$BB$48),$BB$48,IF(AND(BC16=$BB$49),$BB$49,""))))))))))))))))))))))))))))))))))))</f>
        <v>45047</v>
      </c>
      <c r="BE16" s="136">
        <f t="shared" ref="BE16:BE59" si="3">IFERROR(IF(OR(BC16="",BD16=""),"",IF($BC$6=$BD$6,IF(BC16="",BD16,BC16),"")),"")</f>
        <v>45047</v>
      </c>
      <c r="BF16" s="136">
        <f t="shared" ref="BF16:BF59" si="4">IF(BE16&gt;$P$8,"",BE16)</f>
        <v>45047</v>
      </c>
      <c r="BG16" s="115">
        <f>IFERROR(IF(BF16="","",IF(OR(BF16=$BB$18,BF16=$BB$30,BF16=$BB$42),MROUND($Z$2*1.03,100),$Z$2)),"")</f>
        <v>59500</v>
      </c>
      <c r="BH16" s="115">
        <f>IF(BG16="","",IF(C24="","",ROUND(BG16*BA16%,0)))</f>
        <v>24990</v>
      </c>
      <c r="BI16" s="115">
        <f>IF(BG16="","",IF(C24="","",ROUND(BG16*AY16%,0)))</f>
        <v>5355</v>
      </c>
      <c r="BJ16" s="115">
        <f>IFERROR(IF(BF16="","",IF(OR(BF16=$BB$18,BF16=$BB$30,BF16=$BB$42),MROUND($Y$2*1.03,100),$Y$2)),"")</f>
        <v>57200</v>
      </c>
      <c r="BK16" s="115">
        <f>IF(BJ16="","",IF(C24="","",ROUND(BJ16*BA16%,0)))</f>
        <v>24024</v>
      </c>
      <c r="BL16" s="115">
        <f>IF(BJ16="","",IF(C24="","",ROUND(BJ16*AY16%,0)))</f>
        <v>5148</v>
      </c>
      <c r="BM16" s="115" t="str">
        <f t="shared" ref="BM16:BM60" si="5">IFERROR(IF(BG16="","",IF(OR(BF16=$BB$18,BF16=$BB$19,BF16=$BB$20,BF16=$BB$21),ROUND(BG16*4%,0),IF(OR(BF16=$BB$24,BF16=$BB$25),ROUND(BG16*4%,0),IF(OR(BF16=$BB$30,BF16=$BB$31,BF16=$BB$32,BF16=$BB$33),ROUND(BG16*3%,0),IF(OR(BF16=$BB$36,BF16=$BB$37),ROUND(BG16*2%,0),IF(OR(BF16=$BB$42,BF16=$BB$43,BF16=$BB$44),ROUND(BG16*3%,0),"")))))),"")</f>
        <v/>
      </c>
      <c r="BN16" s="115" t="str">
        <f t="shared" ref="BN16:BN60" si="6">IFERROR(IF(BJ16="","",IF(OR(BF16=$BB$18,BF16=$BB$19,BF16=$BB$20,BF16=$BB$21),ROUND(BJ16*4%,0),IF(OR(BF16=$BB$24,BF16=$BB$25),ROUND(BJ16*4%,0),IF(OR(BF16=$BB$30,BF16=$BB$31,BF16=$BB$32,BF16=$BB$33),ROUND(BJ16*3%,0),IF(OR(BF16=$BB$36,BF16=$BB$37),ROUND(BJ16*2%,0),IF(OR(BF16=$BB$42,BF16=$BB$43,BF16=$BB$44),ROUND(BJ16*3%,0),"")))))),"")</f>
        <v/>
      </c>
    </row>
    <row r="17" spans="1:76" s="50" customFormat="1" ht="18.75">
      <c r="C17" s="308" t="s">
        <v>160</v>
      </c>
      <c r="D17" s="308"/>
      <c r="E17" s="308"/>
      <c r="F17" s="334" t="str">
        <f>IF('Master Sheet'!D11="","",UPPER('Master Sheet'!D11))</f>
        <v>HEERALAL JAT</v>
      </c>
      <c r="G17" s="334"/>
      <c r="H17" s="334"/>
      <c r="I17" s="334"/>
      <c r="J17" s="334"/>
      <c r="K17" s="308" t="s">
        <v>159</v>
      </c>
      <c r="L17" s="308"/>
      <c r="M17" s="325" t="str">
        <f>IF('Master Sheet'!N11="","",'Master Sheet'!N11)</f>
        <v>Sr. Teacher</v>
      </c>
      <c r="N17" s="325"/>
      <c r="O17" s="325"/>
      <c r="P17" s="308" t="s">
        <v>161</v>
      </c>
      <c r="Q17" s="308"/>
      <c r="R17" s="308"/>
      <c r="S17" s="314" t="str">
        <f>'Master Sheet'!D7</f>
        <v>Mahatma Gandhi Government School (English Medium) Bar, (Beawar)</v>
      </c>
      <c r="T17" s="314"/>
      <c r="U17" s="314"/>
      <c r="V17" s="314"/>
      <c r="W17" s="314"/>
      <c r="X17" s="314"/>
      <c r="Y17" s="314"/>
      <c r="Z17" s="314"/>
      <c r="AV17" s="172"/>
      <c r="AW17" s="172"/>
      <c r="AX17" s="172"/>
      <c r="AY17" s="115">
        <f t="shared" si="0"/>
        <v>9</v>
      </c>
      <c r="AZ17" s="137"/>
      <c r="BA17" s="115">
        <f t="shared" si="1"/>
        <v>42</v>
      </c>
      <c r="BB17" s="135">
        <v>45078</v>
      </c>
      <c r="BC17" s="134">
        <f>IF(AND(BB17&gt;$P$8),"",DATE($R$4,($Q$4+2),1))</f>
        <v>45078</v>
      </c>
      <c r="BD17" s="136">
        <f t="shared" si="2"/>
        <v>45078</v>
      </c>
      <c r="BE17" s="136">
        <f t="shared" si="3"/>
        <v>45078</v>
      </c>
      <c r="BF17" s="136">
        <f t="shared" si="4"/>
        <v>45078</v>
      </c>
      <c r="BG17" s="115">
        <f>IFERROR(IF(BF17="","",IF(OR(BF17=$BB$18,BF17=$BB$30,BF17=$BB$42),MROUND(BG16*1.03,100),BG16)),"")</f>
        <v>59500</v>
      </c>
      <c r="BH17" s="115">
        <f t="shared" ref="BH17:BH59" si="7">IF(BG17="","",IF(C25="","",ROUND(BG17*BA17%,0)))</f>
        <v>24990</v>
      </c>
      <c r="BI17" s="115">
        <f t="shared" ref="BI17:BI59" si="8">IF(BG17="","",IF(C25="","",ROUND(BG17*AY17%,0)))</f>
        <v>5355</v>
      </c>
      <c r="BJ17" s="115">
        <f>IFERROR(IF(BF17="","",IF(OR(BF17=$BB$18,BF17=$BB$30,BF17=$BB$42),MROUND(BJ16*1.03,100),BJ16)),"")</f>
        <v>57200</v>
      </c>
      <c r="BK17" s="115">
        <f t="shared" ref="BK17:BK59" si="9">IF(BJ17="","",IF(C25="","",ROUND(BJ17*BA17%,0)))</f>
        <v>24024</v>
      </c>
      <c r="BL17" s="115">
        <f t="shared" ref="BL17:BL59" si="10">IF(BJ17="","",IF(C25="","",ROUND(BJ17*AY17%,0)))</f>
        <v>5148</v>
      </c>
      <c r="BM17" s="115" t="str">
        <f t="shared" si="5"/>
        <v/>
      </c>
      <c r="BN17" s="115" t="str">
        <f t="shared" si="6"/>
        <v/>
      </c>
      <c r="BO17" s="137"/>
      <c r="BP17" s="137"/>
      <c r="BQ17" s="137"/>
      <c r="BR17" s="137"/>
      <c r="BS17" s="137"/>
      <c r="BT17" s="137"/>
      <c r="BU17" s="137"/>
      <c r="BV17" s="137"/>
      <c r="BW17" s="137"/>
      <c r="BX17" s="137"/>
    </row>
    <row r="18" spans="1:76" s="50" customFormat="1" ht="18.75">
      <c r="C18" s="113" t="str">
        <f>IFERROR(IF(AND(AT12="",AV12=""),"",IF(AV12&gt;$AS$6,"",AV12)),"")</f>
        <v/>
      </c>
      <c r="D18" s="113"/>
      <c r="E18" s="113"/>
      <c r="F18" s="114"/>
      <c r="G18" s="114"/>
      <c r="H18" s="114"/>
      <c r="I18" s="114"/>
      <c r="J18" s="114"/>
      <c r="K18" s="307" t="s">
        <v>164</v>
      </c>
      <c r="L18" s="307"/>
      <c r="M18" s="307"/>
      <c r="N18" s="307"/>
      <c r="O18" s="307"/>
      <c r="P18" s="307"/>
      <c r="Q18" s="307"/>
      <c r="R18" s="307"/>
      <c r="S18" s="314"/>
      <c r="T18" s="314"/>
      <c r="U18" s="314"/>
      <c r="V18" s="314"/>
      <c r="W18" s="314"/>
      <c r="X18" s="314"/>
      <c r="Y18" s="314"/>
      <c r="Z18" s="314"/>
      <c r="AV18" s="172"/>
      <c r="AW18" s="172"/>
      <c r="AX18" s="172"/>
      <c r="AY18" s="115">
        <f t="shared" si="0"/>
        <v>9</v>
      </c>
      <c r="AZ18" s="137"/>
      <c r="BA18" s="115">
        <f t="shared" si="1"/>
        <v>46</v>
      </c>
      <c r="BB18" s="135">
        <v>45108</v>
      </c>
      <c r="BC18" s="134">
        <f>IF(AND(BB18&gt;$P$8),"",DATE($R$4,($Q$4+3),1))</f>
        <v>45108</v>
      </c>
      <c r="BD18" s="136">
        <f t="shared" si="2"/>
        <v>45108</v>
      </c>
      <c r="BE18" s="136">
        <f t="shared" si="3"/>
        <v>45108</v>
      </c>
      <c r="BF18" s="136">
        <f t="shared" si="4"/>
        <v>45108</v>
      </c>
      <c r="BG18" s="115">
        <f t="shared" ref="BG18:BG59" si="11">IFERROR(IF(BF18="","",IF(OR(BF18=$BB$18,BF18=$BB$30,BF18=$BB$42),MROUND(BG17*1.03,100),BG17)),"")</f>
        <v>61300</v>
      </c>
      <c r="BH18" s="115">
        <f t="shared" si="7"/>
        <v>28198</v>
      </c>
      <c r="BI18" s="115">
        <f t="shared" si="8"/>
        <v>5517</v>
      </c>
      <c r="BJ18" s="115">
        <f t="shared" ref="BJ18:BJ58" si="12">IFERROR(IF(BF18="","",IF(OR(BF18=$BB$18,BF18=$BB$30,BF18=$BB$42),MROUND(BJ17*1.03,100),BJ17)),"")</f>
        <v>58900</v>
      </c>
      <c r="BK18" s="115">
        <f t="shared" si="9"/>
        <v>27094</v>
      </c>
      <c r="BL18" s="115">
        <f t="shared" si="10"/>
        <v>5301</v>
      </c>
      <c r="BM18" s="115">
        <f t="shared" si="5"/>
        <v>2452</v>
      </c>
      <c r="BN18" s="115">
        <f t="shared" si="6"/>
        <v>2356</v>
      </c>
      <c r="BO18" s="137"/>
      <c r="BP18" s="137"/>
      <c r="BQ18" s="137"/>
      <c r="BR18" s="137"/>
      <c r="BS18" s="137"/>
      <c r="BT18" s="137"/>
      <c r="BU18" s="137"/>
      <c r="BV18" s="137"/>
      <c r="BW18" s="137"/>
      <c r="BX18" s="137"/>
    </row>
    <row r="19" spans="1:76" ht="7.5" customHeight="1">
      <c r="C19" s="75"/>
      <c r="D19" s="75"/>
      <c r="E19" s="75"/>
      <c r="F19" s="75"/>
      <c r="G19" s="75"/>
      <c r="H19" s="75"/>
      <c r="I19" s="75"/>
      <c r="J19" s="75"/>
      <c r="K19" s="75"/>
      <c r="L19" s="75"/>
      <c r="M19" s="75"/>
      <c r="N19" s="75"/>
      <c r="O19" s="75"/>
      <c r="P19" s="75"/>
      <c r="Q19" s="75"/>
      <c r="R19" s="75"/>
      <c r="S19" s="75"/>
      <c r="T19" s="75"/>
      <c r="U19" s="75"/>
      <c r="V19" s="75"/>
      <c r="W19" s="75"/>
      <c r="X19" s="75"/>
      <c r="Y19" s="75"/>
      <c r="Z19" s="75"/>
      <c r="AW19" s="171"/>
      <c r="AX19" s="171"/>
      <c r="AY19" s="115">
        <f t="shared" si="0"/>
        <v>9</v>
      </c>
      <c r="BA19" s="115">
        <f t="shared" si="1"/>
        <v>46</v>
      </c>
      <c r="BB19" s="135">
        <v>45139</v>
      </c>
      <c r="BC19" s="134">
        <f>IF(AND(BB19&gt;$P$8),"",DATE($R$4,($Q$4+4),1))</f>
        <v>45139</v>
      </c>
      <c r="BD19" s="136">
        <f t="shared" si="2"/>
        <v>45139</v>
      </c>
      <c r="BE19" s="136">
        <f t="shared" si="3"/>
        <v>45139</v>
      </c>
      <c r="BF19" s="136">
        <f t="shared" si="4"/>
        <v>45139</v>
      </c>
      <c r="BG19" s="115">
        <f t="shared" si="11"/>
        <v>61300</v>
      </c>
      <c r="BH19" s="115">
        <f t="shared" si="7"/>
        <v>28198</v>
      </c>
      <c r="BI19" s="115">
        <f t="shared" si="8"/>
        <v>5517</v>
      </c>
      <c r="BJ19" s="115">
        <f t="shared" si="12"/>
        <v>58900</v>
      </c>
      <c r="BK19" s="115">
        <f t="shared" si="9"/>
        <v>27094</v>
      </c>
      <c r="BL19" s="115">
        <f t="shared" si="10"/>
        <v>5301</v>
      </c>
      <c r="BM19" s="115">
        <f t="shared" si="5"/>
        <v>2452</v>
      </c>
      <c r="BN19" s="115">
        <f t="shared" si="6"/>
        <v>2356</v>
      </c>
    </row>
    <row r="20" spans="1:76" ht="18" customHeight="1">
      <c r="B20" s="317" t="s">
        <v>165</v>
      </c>
      <c r="C20" s="340" t="s">
        <v>187</v>
      </c>
      <c r="D20" s="329" t="s">
        <v>184</v>
      </c>
      <c r="E20" s="329"/>
      <c r="F20" s="329"/>
      <c r="G20" s="329"/>
      <c r="H20" s="329" t="s">
        <v>185</v>
      </c>
      <c r="I20" s="329"/>
      <c r="J20" s="329"/>
      <c r="K20" s="329"/>
      <c r="L20" s="329" t="s">
        <v>186</v>
      </c>
      <c r="M20" s="329"/>
      <c r="N20" s="329"/>
      <c r="O20" s="329"/>
      <c r="P20" s="330" t="s">
        <v>191</v>
      </c>
      <c r="Q20" s="331"/>
      <c r="R20" s="331"/>
      <c r="S20" s="331"/>
      <c r="T20" s="331"/>
      <c r="U20" s="331"/>
      <c r="V20" s="331"/>
      <c r="W20" s="331"/>
      <c r="X20" s="332"/>
      <c r="Y20" s="343" t="s">
        <v>151</v>
      </c>
      <c r="Z20" s="335" t="s">
        <v>152</v>
      </c>
      <c r="AW20" s="171"/>
      <c r="AX20" s="171"/>
      <c r="AY20" s="115">
        <f t="shared" si="0"/>
        <v>9</v>
      </c>
      <c r="BA20" s="115">
        <f t="shared" si="1"/>
        <v>46</v>
      </c>
      <c r="BB20" s="135">
        <v>45170</v>
      </c>
      <c r="BC20" s="134">
        <f>IF(AND(BB20&gt;$P$8),"",DATE($R$4,($Q$4+5),1))</f>
        <v>45170</v>
      </c>
      <c r="BD20" s="136">
        <f t="shared" si="2"/>
        <v>45170</v>
      </c>
      <c r="BE20" s="136">
        <f t="shared" si="3"/>
        <v>45170</v>
      </c>
      <c r="BF20" s="136">
        <f t="shared" si="4"/>
        <v>45170</v>
      </c>
      <c r="BG20" s="115">
        <f t="shared" si="11"/>
        <v>61300</v>
      </c>
      <c r="BH20" s="115">
        <f t="shared" si="7"/>
        <v>28198</v>
      </c>
      <c r="BI20" s="115">
        <f t="shared" si="8"/>
        <v>5517</v>
      </c>
      <c r="BJ20" s="115">
        <f t="shared" si="12"/>
        <v>58900</v>
      </c>
      <c r="BK20" s="115">
        <f t="shared" si="9"/>
        <v>27094</v>
      </c>
      <c r="BL20" s="115">
        <f t="shared" si="10"/>
        <v>5301</v>
      </c>
      <c r="BM20" s="115">
        <f t="shared" si="5"/>
        <v>2452</v>
      </c>
      <c r="BN20" s="115">
        <f t="shared" si="6"/>
        <v>2356</v>
      </c>
    </row>
    <row r="21" spans="1:76">
      <c r="B21" s="318"/>
      <c r="C21" s="341"/>
      <c r="D21" s="338" t="s">
        <v>153</v>
      </c>
      <c r="E21" s="338" t="s">
        <v>154</v>
      </c>
      <c r="F21" s="335" t="s">
        <v>155</v>
      </c>
      <c r="G21" s="338" t="s">
        <v>156</v>
      </c>
      <c r="H21" s="338" t="s">
        <v>153</v>
      </c>
      <c r="I21" s="338" t="s">
        <v>154</v>
      </c>
      <c r="J21" s="335" t="s">
        <v>155</v>
      </c>
      <c r="K21" s="338" t="s">
        <v>156</v>
      </c>
      <c r="L21" s="338" t="s">
        <v>153</v>
      </c>
      <c r="M21" s="338" t="s">
        <v>154</v>
      </c>
      <c r="N21" s="335" t="s">
        <v>155</v>
      </c>
      <c r="O21" s="338" t="s">
        <v>156</v>
      </c>
      <c r="P21" s="326" t="s">
        <v>171</v>
      </c>
      <c r="Q21" s="327"/>
      <c r="R21" s="328"/>
      <c r="S21" s="326" t="s">
        <v>157</v>
      </c>
      <c r="T21" s="327"/>
      <c r="U21" s="328"/>
      <c r="V21" s="326" t="s">
        <v>158</v>
      </c>
      <c r="W21" s="327"/>
      <c r="X21" s="328"/>
      <c r="Y21" s="344"/>
      <c r="Z21" s="336"/>
      <c r="AW21" s="171"/>
      <c r="AX21" s="171"/>
      <c r="AY21" s="115">
        <f t="shared" si="0"/>
        <v>9</v>
      </c>
      <c r="BA21" s="115">
        <f t="shared" si="1"/>
        <v>46</v>
      </c>
      <c r="BB21" s="135">
        <v>45200</v>
      </c>
      <c r="BC21" s="134">
        <f>IF(AND(BB21&gt;$P$8),"",DATE($R$4,($Q$4+6),1))</f>
        <v>45200</v>
      </c>
      <c r="BD21" s="136">
        <f t="shared" si="2"/>
        <v>45200</v>
      </c>
      <c r="BE21" s="136">
        <f t="shared" si="3"/>
        <v>45200</v>
      </c>
      <c r="BF21" s="136">
        <f t="shared" si="4"/>
        <v>45200</v>
      </c>
      <c r="BG21" s="115">
        <f t="shared" si="11"/>
        <v>61300</v>
      </c>
      <c r="BH21" s="115">
        <f t="shared" si="7"/>
        <v>28198</v>
      </c>
      <c r="BI21" s="115">
        <f t="shared" si="8"/>
        <v>5517</v>
      </c>
      <c r="BJ21" s="115">
        <f t="shared" si="12"/>
        <v>58900</v>
      </c>
      <c r="BK21" s="115">
        <f t="shared" si="9"/>
        <v>27094</v>
      </c>
      <c r="BL21" s="115">
        <f t="shared" si="10"/>
        <v>5301</v>
      </c>
      <c r="BM21" s="115">
        <f t="shared" si="5"/>
        <v>2452</v>
      </c>
      <c r="BN21" s="115">
        <f t="shared" si="6"/>
        <v>2356</v>
      </c>
    </row>
    <row r="22" spans="1:76">
      <c r="B22" s="319"/>
      <c r="C22" s="342"/>
      <c r="D22" s="339"/>
      <c r="E22" s="339"/>
      <c r="F22" s="337"/>
      <c r="G22" s="339"/>
      <c r="H22" s="339"/>
      <c r="I22" s="339"/>
      <c r="J22" s="337"/>
      <c r="K22" s="339"/>
      <c r="L22" s="339"/>
      <c r="M22" s="339"/>
      <c r="N22" s="337"/>
      <c r="O22" s="339"/>
      <c r="P22" s="121" t="s">
        <v>189</v>
      </c>
      <c r="Q22" s="121" t="s">
        <v>188</v>
      </c>
      <c r="R22" s="121" t="s">
        <v>190</v>
      </c>
      <c r="S22" s="121" t="s">
        <v>189</v>
      </c>
      <c r="T22" s="121" t="s">
        <v>188</v>
      </c>
      <c r="U22" s="121" t="s">
        <v>190</v>
      </c>
      <c r="V22" s="121" t="s">
        <v>189</v>
      </c>
      <c r="W22" s="121" t="s">
        <v>188</v>
      </c>
      <c r="X22" s="121" t="s">
        <v>190</v>
      </c>
      <c r="Y22" s="345"/>
      <c r="Z22" s="337"/>
      <c r="AW22" s="171"/>
      <c r="AX22" s="171"/>
      <c r="AY22" s="115">
        <f t="shared" si="0"/>
        <v>9</v>
      </c>
      <c r="BA22" s="115">
        <f t="shared" si="1"/>
        <v>46</v>
      </c>
      <c r="BB22" s="135">
        <v>45231</v>
      </c>
      <c r="BC22" s="134">
        <f>IF(AND(BB22&gt;$P$8),"",DATE($R$4,($Q$4+7),1))</f>
        <v>45231</v>
      </c>
      <c r="BD22" s="136">
        <f t="shared" si="2"/>
        <v>45231</v>
      </c>
      <c r="BE22" s="136">
        <f t="shared" si="3"/>
        <v>45231</v>
      </c>
      <c r="BF22" s="136">
        <f t="shared" si="4"/>
        <v>45231</v>
      </c>
      <c r="BG22" s="115">
        <f t="shared" si="11"/>
        <v>61300</v>
      </c>
      <c r="BH22" s="115">
        <f t="shared" si="7"/>
        <v>28198</v>
      </c>
      <c r="BI22" s="115">
        <f t="shared" si="8"/>
        <v>5517</v>
      </c>
      <c r="BJ22" s="115">
        <f t="shared" si="12"/>
        <v>58900</v>
      </c>
      <c r="BK22" s="115">
        <f t="shared" si="9"/>
        <v>27094</v>
      </c>
      <c r="BL22" s="115">
        <f t="shared" si="10"/>
        <v>5301</v>
      </c>
      <c r="BM22" s="115" t="str">
        <f t="shared" si="5"/>
        <v/>
      </c>
      <c r="BN22" s="115" t="str">
        <f t="shared" si="6"/>
        <v/>
      </c>
    </row>
    <row r="23" spans="1:76" ht="17.45" customHeight="1">
      <c r="A23" s="115">
        <f>IF(LEN(C23)&gt;=2,1,0)</f>
        <v>1</v>
      </c>
      <c r="B23" s="108">
        <f>IFERROR(IF(A23="","",IF(A23=0,"",A23)),"")</f>
        <v>1</v>
      </c>
      <c r="C23" s="110">
        <f>IFERROR(IF(OR($P$6="",$P$8="",$P$4="",$Q$4="",$R$4=""),"",IF(AND($P$6&gt;$P$8),"",BF15)),"")</f>
        <v>45017</v>
      </c>
      <c r="D23" s="108">
        <f>IFERROR(IF(C23="","",BG15),"")</f>
        <v>13883</v>
      </c>
      <c r="E23" s="108">
        <f>IFERROR(IF(D23="","",IF(C23="","",BH15)),"")</f>
        <v>5831</v>
      </c>
      <c r="F23" s="108">
        <f>IFERROR(IF(D23="","",IF(C23="","",BI15)),"")</f>
        <v>1249</v>
      </c>
      <c r="G23" s="107">
        <f>IFERROR(IF(C23="","",IF(D23="","",SUM(D23:F23))),"")</f>
        <v>20963</v>
      </c>
      <c r="H23" s="108">
        <f>IFERROR(IF(C23="","",BJ15),"")</f>
        <v>13347</v>
      </c>
      <c r="I23" s="108">
        <f>IFERROR(IF(H23="","",IF(C23="","",BK15)),"")</f>
        <v>5606</v>
      </c>
      <c r="J23" s="108">
        <f>IFERROR(IF(H23="","",IF(C23="","",BL15)),"")</f>
        <v>1201</v>
      </c>
      <c r="K23" s="107">
        <f>IFERROR(IF(C23="","",IF(H23="","",SUM(H23:J23))),"")</f>
        <v>20154</v>
      </c>
      <c r="L23" s="108">
        <f>IFERROR(IF(C23="","",IF(OR(D23="",H23=""),"",SUM(D23-H23))),"")</f>
        <v>536</v>
      </c>
      <c r="M23" s="108">
        <f>IFERROR(IF(C23="","",IF(OR(E23="",I23=""),"",SUM(E23-I23))),"")</f>
        <v>225</v>
      </c>
      <c r="N23" s="108">
        <f>IFERROR(IF(C23="","",IF(OR(F23="",J23=""),"",SUM(F23-J23))),"")</f>
        <v>48</v>
      </c>
      <c r="O23" s="118">
        <f>IFERROR(IF(C23="","",IF(OR(G23="",K23=""),"",SUM(G23-K23))),"")</f>
        <v>809</v>
      </c>
      <c r="P23" s="108" t="str">
        <f>IFERROR(IF(D23="","",IF(C23="","",BM15)),"")</f>
        <v/>
      </c>
      <c r="Q23" s="108" t="str">
        <f>IFERROR(IF(H23="","",IF(C23="","",BN15)),"")</f>
        <v/>
      </c>
      <c r="R23" s="107" t="str">
        <f>IFERROR(IF(C23="","",IF(AND(P23="",Q23=""),"",SUM(P23-Q23))),"")</f>
        <v/>
      </c>
      <c r="S23" s="111">
        <f>IFERROR(IF(C23="","",IF($Z$2="","",IF($Z$2&lt;18001,265,IF($Z$2&lt;33501,440,IF($Z$2&lt;54001,658,875))))),"")</f>
        <v>875</v>
      </c>
      <c r="T23" s="111">
        <f>IFERROR(IF(C23="","",IF($Z$2="","",IF($Z$2&lt;18001,265,IF($Z$2&lt;33501,440,IF($Z$2&lt;54001,658,875))))),"")</f>
        <v>875</v>
      </c>
      <c r="U23" s="107">
        <f>IFERROR(IF(C23="","",IF(AND(S23="",T23=""),"",SUM(S23-T23))),"")</f>
        <v>0</v>
      </c>
      <c r="V23" s="108">
        <f>IFERROR(IF($X$10="","",IF(C23="","",IF(O23="","",ROUND(O23*$X$10%,0)))),"")</f>
        <v>0</v>
      </c>
      <c r="W23" s="112"/>
      <c r="X23" s="107">
        <f>IFERROR(IF(C23="","",IF(AND(V23="",W23=""),"",SUM(V23-W23))),"")</f>
        <v>0</v>
      </c>
      <c r="Y23" s="119">
        <f>IFERROR(IF(C23="","",IF(AND(R23="",U23="",X23=""),"",SUM(R23,U23,X23))),"")</f>
        <v>0</v>
      </c>
      <c r="Z23" s="120">
        <f>IFERROR(IF(C23="","",IF(AND(O23="",Y23=""),"",SUM(O23-Y23))),"")</f>
        <v>809</v>
      </c>
      <c r="AW23" s="369"/>
      <c r="AX23" s="171"/>
      <c r="AY23" s="115">
        <f t="shared" si="0"/>
        <v>9</v>
      </c>
      <c r="BA23" s="115">
        <f t="shared" si="1"/>
        <v>46</v>
      </c>
      <c r="BB23" s="135">
        <v>45261</v>
      </c>
      <c r="BC23" s="134">
        <f>IF(AND(BB23&gt;$P$8),"",DATE($R$4,($Q$4+8),1))</f>
        <v>45261</v>
      </c>
      <c r="BD23" s="136">
        <f t="shared" si="2"/>
        <v>45261</v>
      </c>
      <c r="BE23" s="136">
        <f t="shared" si="3"/>
        <v>45261</v>
      </c>
      <c r="BF23" s="136">
        <f t="shared" si="4"/>
        <v>45261</v>
      </c>
      <c r="BG23" s="115">
        <f t="shared" si="11"/>
        <v>61300</v>
      </c>
      <c r="BH23" s="115">
        <f t="shared" si="7"/>
        <v>28198</v>
      </c>
      <c r="BI23" s="115">
        <f t="shared" si="8"/>
        <v>5517</v>
      </c>
      <c r="BJ23" s="115">
        <f t="shared" si="12"/>
        <v>58900</v>
      </c>
      <c r="BK23" s="115">
        <f t="shared" si="9"/>
        <v>27094</v>
      </c>
      <c r="BL23" s="115">
        <f t="shared" si="10"/>
        <v>5301</v>
      </c>
      <c r="BM23" s="115" t="str">
        <f t="shared" si="5"/>
        <v/>
      </c>
      <c r="BN23" s="115" t="str">
        <f t="shared" si="6"/>
        <v/>
      </c>
    </row>
    <row r="24" spans="1:76" ht="17.45" customHeight="1">
      <c r="A24" s="115">
        <f>IF(B23="","",IF(LEN(C24)&gt;=2,A23+1,0))</f>
        <v>2</v>
      </c>
      <c r="B24" s="108">
        <f t="shared" ref="B24:B33" si="13">IFERROR(IF(A24="","",IF(A24=0,"",A24)),"")</f>
        <v>2</v>
      </c>
      <c r="C24" s="110">
        <f t="shared" ref="C24:C33" si="14">IFERROR(IF(OR($P$6="",$P$8="",$P$4="",$Q$4="",$R$4=""),"",IF(AND($P$6&gt;$P$8),"",BF16)),"")</f>
        <v>45047</v>
      </c>
      <c r="D24" s="108">
        <f t="shared" ref="D24:D33" si="15">IFERROR(IF(C24="","",BG16),"")</f>
        <v>59500</v>
      </c>
      <c r="E24" s="108">
        <f t="shared" ref="E24:E33" si="16">IFERROR(IF(D24="","",IF(C24="","",BH16)),"")</f>
        <v>24990</v>
      </c>
      <c r="F24" s="108">
        <f t="shared" ref="F24:F33" si="17">IFERROR(IF(D24="","",IF(C24="","",BI16)),"")</f>
        <v>5355</v>
      </c>
      <c r="G24" s="107">
        <f t="shared" ref="G24:G33" si="18">IFERROR(IF(C24="","",IF(D24="","",SUM(D24:F24))),"")</f>
        <v>89845</v>
      </c>
      <c r="H24" s="108">
        <f t="shared" ref="H24:H33" si="19">IFERROR(IF(C24="","",BJ16),"")</f>
        <v>57200</v>
      </c>
      <c r="I24" s="108">
        <f t="shared" ref="I24:I33" si="20">IFERROR(IF(H24="","",IF(C24="","",BK16)),"")</f>
        <v>24024</v>
      </c>
      <c r="J24" s="108">
        <f t="shared" ref="J24:J33" si="21">IFERROR(IF(H24="","",IF(C24="","",BL16)),"")</f>
        <v>5148</v>
      </c>
      <c r="K24" s="107">
        <f t="shared" ref="K24:K33" si="22">IFERROR(IF(C24="","",IF(H24="","",SUM(H24:J24))),"")</f>
        <v>86372</v>
      </c>
      <c r="L24" s="108">
        <f t="shared" ref="L24:L33" si="23">IFERROR(IF(C24="","",IF(OR(D24="",H24=""),"",SUM(D24-H24))),"")</f>
        <v>2300</v>
      </c>
      <c r="M24" s="108">
        <f t="shared" ref="M24:M33" si="24">IFERROR(IF(C24="","",IF(OR(E24="",I24=""),"",SUM(E24-I24))),"")</f>
        <v>966</v>
      </c>
      <c r="N24" s="108">
        <f t="shared" ref="N24:N33" si="25">IFERROR(IF(C24="","",IF(OR(F24="",J24=""),"",SUM(F24-J24))),"")</f>
        <v>207</v>
      </c>
      <c r="O24" s="118">
        <f t="shared" ref="O24:O33" si="26">IFERROR(IF(C24="","",IF(OR(G24="",K24=""),"",SUM(G24-K24))),"")</f>
        <v>3473</v>
      </c>
      <c r="P24" s="108" t="str">
        <f t="shared" ref="P24:P33" si="27">IFERROR(IF(D24="","",IF(C24="","",BM16)),"")</f>
        <v/>
      </c>
      <c r="Q24" s="108" t="str">
        <f t="shared" ref="Q24:Q33" si="28">IFERROR(IF(H24="","",IF(C24="","",BN16)),"")</f>
        <v/>
      </c>
      <c r="R24" s="107" t="str">
        <f t="shared" ref="R24:R33" si="29">IFERROR(IF(C24="","",IF(AND(P24="",Q24=""),"",SUM(P24-Q24))),"")</f>
        <v/>
      </c>
      <c r="S24" s="111">
        <f t="shared" ref="S24:S33" si="30">IFERROR(IF(C24="","",IF($Z$2="","",IF($Z$2&lt;18001,265,IF($Z$2&lt;33501,440,IF($Z$2&lt;54001,658,875))))),"")</f>
        <v>875</v>
      </c>
      <c r="T24" s="111">
        <f t="shared" ref="T24:T33" si="31">IFERROR(IF(C24="","",IF($Z$2="","",IF($Z$2&lt;18001,265,IF($Z$2&lt;33501,440,IF($Z$2&lt;54001,658,875))))),"")</f>
        <v>875</v>
      </c>
      <c r="U24" s="107">
        <f t="shared" ref="U24:U33" si="32">IFERROR(IF(C24="","",IF(AND(S24="",T24=""),"",SUM(S24-T24))),"")</f>
        <v>0</v>
      </c>
      <c r="V24" s="108">
        <f t="shared" ref="V24:V33" si="33">IFERROR(IF($X$10="","",IF(C24="","",IF(O24="","",ROUND(O24*$X$10%,0)))),"")</f>
        <v>0</v>
      </c>
      <c r="W24" s="112"/>
      <c r="X24" s="107">
        <f t="shared" ref="X24:X33" si="34">IFERROR(IF(C24="","",IF(AND(V24="",W24=""),"",SUM(V24-W24))),"")</f>
        <v>0</v>
      </c>
      <c r="Y24" s="119">
        <f t="shared" ref="Y24:Y33" si="35">IFERROR(IF(C24="","",IF(AND(R24="",U24="",X24=""),"",SUM(R24,U24,X24))),"")</f>
        <v>0</v>
      </c>
      <c r="Z24" s="120">
        <f t="shared" ref="Z24:Z33" si="36">IFERROR(IF(C24="","",IF(AND(O24="",Y24=""),"",SUM(O24-Y24))),"")</f>
        <v>3473</v>
      </c>
      <c r="AW24" s="369"/>
      <c r="AX24" s="171"/>
      <c r="AY24" s="115">
        <f t="shared" si="0"/>
        <v>9</v>
      </c>
      <c r="BA24" s="115">
        <f t="shared" si="1"/>
        <v>50</v>
      </c>
      <c r="BB24" s="135">
        <v>45292</v>
      </c>
      <c r="BC24" s="134">
        <f>IF(AND(BB24&gt;$P$8),"",DATE($R$4,($Q$4+9),1))</f>
        <v>45292</v>
      </c>
      <c r="BD24" s="136">
        <f t="shared" si="2"/>
        <v>45292</v>
      </c>
      <c r="BE24" s="136">
        <f t="shared" si="3"/>
        <v>45292</v>
      </c>
      <c r="BF24" s="136">
        <f t="shared" si="4"/>
        <v>45292</v>
      </c>
      <c r="BG24" s="115">
        <f t="shared" si="11"/>
        <v>61300</v>
      </c>
      <c r="BH24" s="115">
        <f t="shared" si="7"/>
        <v>30650</v>
      </c>
      <c r="BI24" s="115">
        <f t="shared" si="8"/>
        <v>5517</v>
      </c>
      <c r="BJ24" s="115">
        <f t="shared" si="12"/>
        <v>58900</v>
      </c>
      <c r="BK24" s="115">
        <f t="shared" si="9"/>
        <v>29450</v>
      </c>
      <c r="BL24" s="115">
        <f t="shared" si="10"/>
        <v>5301</v>
      </c>
      <c r="BM24" s="115">
        <f t="shared" si="5"/>
        <v>2452</v>
      </c>
      <c r="BN24" s="115">
        <f t="shared" si="6"/>
        <v>2356</v>
      </c>
    </row>
    <row r="25" spans="1:76" ht="17.45" customHeight="1">
      <c r="A25" s="115">
        <f t="shared" ref="A25:A45" si="37">IF(B24="","",IF(LEN(C25)&gt;=2,A24+1,0))</f>
        <v>3</v>
      </c>
      <c r="B25" s="108">
        <f t="shared" si="13"/>
        <v>3</v>
      </c>
      <c r="C25" s="110">
        <f t="shared" si="14"/>
        <v>45078</v>
      </c>
      <c r="D25" s="108">
        <f t="shared" si="15"/>
        <v>59500</v>
      </c>
      <c r="E25" s="108">
        <f t="shared" si="16"/>
        <v>24990</v>
      </c>
      <c r="F25" s="108">
        <f t="shared" si="17"/>
        <v>5355</v>
      </c>
      <c r="G25" s="107">
        <f t="shared" si="18"/>
        <v>89845</v>
      </c>
      <c r="H25" s="108">
        <f t="shared" si="19"/>
        <v>57200</v>
      </c>
      <c r="I25" s="108">
        <f t="shared" si="20"/>
        <v>24024</v>
      </c>
      <c r="J25" s="108">
        <f t="shared" si="21"/>
        <v>5148</v>
      </c>
      <c r="K25" s="107">
        <f t="shared" si="22"/>
        <v>86372</v>
      </c>
      <c r="L25" s="108">
        <f t="shared" si="23"/>
        <v>2300</v>
      </c>
      <c r="M25" s="108">
        <f t="shared" si="24"/>
        <v>966</v>
      </c>
      <c r="N25" s="108">
        <f t="shared" si="25"/>
        <v>207</v>
      </c>
      <c r="O25" s="118">
        <f t="shared" si="26"/>
        <v>3473</v>
      </c>
      <c r="P25" s="108" t="str">
        <f t="shared" si="27"/>
        <v/>
      </c>
      <c r="Q25" s="108" t="str">
        <f t="shared" si="28"/>
        <v/>
      </c>
      <c r="R25" s="107" t="str">
        <f t="shared" si="29"/>
        <v/>
      </c>
      <c r="S25" s="111">
        <f t="shared" si="30"/>
        <v>875</v>
      </c>
      <c r="T25" s="111">
        <f t="shared" si="31"/>
        <v>875</v>
      </c>
      <c r="U25" s="107">
        <f t="shared" si="32"/>
        <v>0</v>
      </c>
      <c r="V25" s="108">
        <f t="shared" si="33"/>
        <v>0</v>
      </c>
      <c r="W25" s="112"/>
      <c r="X25" s="107">
        <f t="shared" si="34"/>
        <v>0</v>
      </c>
      <c r="Y25" s="119">
        <f t="shared" si="35"/>
        <v>0</v>
      </c>
      <c r="Z25" s="120">
        <f t="shared" si="36"/>
        <v>3473</v>
      </c>
      <c r="AW25" s="171"/>
      <c r="AX25" s="171"/>
      <c r="AY25" s="115">
        <f t="shared" si="0"/>
        <v>9</v>
      </c>
      <c r="BA25" s="115">
        <f t="shared" si="1"/>
        <v>50</v>
      </c>
      <c r="BB25" s="135">
        <v>45323</v>
      </c>
      <c r="BC25" s="134">
        <f>IF(AND(BB25&gt;$P$8),"",DATE($R$4,($Q$4+10),1))</f>
        <v>45323</v>
      </c>
      <c r="BD25" s="136">
        <f t="shared" si="2"/>
        <v>45323</v>
      </c>
      <c r="BE25" s="136">
        <f t="shared" si="3"/>
        <v>45323</v>
      </c>
      <c r="BF25" s="136">
        <f t="shared" si="4"/>
        <v>45323</v>
      </c>
      <c r="BG25" s="115">
        <f t="shared" si="11"/>
        <v>61300</v>
      </c>
      <c r="BH25" s="115">
        <f t="shared" si="7"/>
        <v>30650</v>
      </c>
      <c r="BI25" s="115">
        <f t="shared" si="8"/>
        <v>5517</v>
      </c>
      <c r="BJ25" s="115">
        <f t="shared" si="12"/>
        <v>58900</v>
      </c>
      <c r="BK25" s="115">
        <f t="shared" si="9"/>
        <v>29450</v>
      </c>
      <c r="BL25" s="115">
        <f t="shared" si="10"/>
        <v>5301</v>
      </c>
      <c r="BM25" s="115">
        <f t="shared" si="5"/>
        <v>2452</v>
      </c>
      <c r="BN25" s="115">
        <f t="shared" si="6"/>
        <v>2356</v>
      </c>
    </row>
    <row r="26" spans="1:76" ht="17.45" customHeight="1">
      <c r="A26" s="115">
        <f t="shared" si="37"/>
        <v>4</v>
      </c>
      <c r="B26" s="108">
        <f t="shared" si="13"/>
        <v>4</v>
      </c>
      <c r="C26" s="110">
        <f t="shared" si="14"/>
        <v>45108</v>
      </c>
      <c r="D26" s="108">
        <f t="shared" si="15"/>
        <v>61300</v>
      </c>
      <c r="E26" s="108">
        <f t="shared" si="16"/>
        <v>28198</v>
      </c>
      <c r="F26" s="108">
        <f t="shared" si="17"/>
        <v>5517</v>
      </c>
      <c r="G26" s="107">
        <f t="shared" si="18"/>
        <v>95015</v>
      </c>
      <c r="H26" s="108">
        <f t="shared" si="19"/>
        <v>58900</v>
      </c>
      <c r="I26" s="108">
        <f t="shared" si="20"/>
        <v>27094</v>
      </c>
      <c r="J26" s="108">
        <f t="shared" si="21"/>
        <v>5301</v>
      </c>
      <c r="K26" s="107">
        <f t="shared" si="22"/>
        <v>91295</v>
      </c>
      <c r="L26" s="108">
        <f t="shared" si="23"/>
        <v>2400</v>
      </c>
      <c r="M26" s="108">
        <f t="shared" si="24"/>
        <v>1104</v>
      </c>
      <c r="N26" s="108">
        <f t="shared" si="25"/>
        <v>216</v>
      </c>
      <c r="O26" s="118">
        <f t="shared" si="26"/>
        <v>3720</v>
      </c>
      <c r="P26" s="108">
        <f t="shared" si="27"/>
        <v>2452</v>
      </c>
      <c r="Q26" s="108">
        <f t="shared" si="28"/>
        <v>2356</v>
      </c>
      <c r="R26" s="107">
        <f t="shared" si="29"/>
        <v>96</v>
      </c>
      <c r="S26" s="111">
        <f t="shared" si="30"/>
        <v>875</v>
      </c>
      <c r="T26" s="111">
        <f t="shared" si="31"/>
        <v>875</v>
      </c>
      <c r="U26" s="107">
        <f t="shared" si="32"/>
        <v>0</v>
      </c>
      <c r="V26" s="108">
        <f t="shared" si="33"/>
        <v>0</v>
      </c>
      <c r="W26" s="112"/>
      <c r="X26" s="107">
        <f t="shared" si="34"/>
        <v>0</v>
      </c>
      <c r="Y26" s="119">
        <f t="shared" si="35"/>
        <v>96</v>
      </c>
      <c r="Z26" s="120">
        <f t="shared" si="36"/>
        <v>3624</v>
      </c>
      <c r="AW26" s="171"/>
      <c r="AX26" s="171"/>
      <c r="AY26" s="115">
        <f t="shared" si="0"/>
        <v>9</v>
      </c>
      <c r="BA26" s="115">
        <f t="shared" si="1"/>
        <v>50</v>
      </c>
      <c r="BB26" s="135">
        <v>45352</v>
      </c>
      <c r="BC26" s="134">
        <f>IF(AND(BB26&gt;$P$8),"",DATE($R$4,($Q$4+11),1))</f>
        <v>45352</v>
      </c>
      <c r="BD26" s="136">
        <f t="shared" si="2"/>
        <v>45352</v>
      </c>
      <c r="BE26" s="136">
        <f t="shared" si="3"/>
        <v>45352</v>
      </c>
      <c r="BF26" s="136">
        <f t="shared" si="4"/>
        <v>45352</v>
      </c>
      <c r="BG26" s="115">
        <f t="shared" si="11"/>
        <v>61300</v>
      </c>
      <c r="BH26" s="115">
        <f t="shared" si="7"/>
        <v>30650</v>
      </c>
      <c r="BI26" s="115">
        <f t="shared" si="8"/>
        <v>5517</v>
      </c>
      <c r="BJ26" s="115">
        <f t="shared" si="12"/>
        <v>58900</v>
      </c>
      <c r="BK26" s="115">
        <f t="shared" si="9"/>
        <v>29450</v>
      </c>
      <c r="BL26" s="115">
        <f t="shared" si="10"/>
        <v>5301</v>
      </c>
      <c r="BM26" s="115" t="str">
        <f t="shared" si="5"/>
        <v/>
      </c>
      <c r="BN26" s="115" t="str">
        <f t="shared" si="6"/>
        <v/>
      </c>
    </row>
    <row r="27" spans="1:76" ht="17.45" customHeight="1">
      <c r="A27" s="115">
        <f t="shared" si="37"/>
        <v>5</v>
      </c>
      <c r="B27" s="108">
        <f t="shared" si="13"/>
        <v>5</v>
      </c>
      <c r="C27" s="110">
        <f t="shared" si="14"/>
        <v>45139</v>
      </c>
      <c r="D27" s="108">
        <f t="shared" si="15"/>
        <v>61300</v>
      </c>
      <c r="E27" s="108">
        <f t="shared" si="16"/>
        <v>28198</v>
      </c>
      <c r="F27" s="108">
        <f t="shared" si="17"/>
        <v>5517</v>
      </c>
      <c r="G27" s="107">
        <f t="shared" si="18"/>
        <v>95015</v>
      </c>
      <c r="H27" s="108">
        <f t="shared" si="19"/>
        <v>58900</v>
      </c>
      <c r="I27" s="108">
        <f t="shared" si="20"/>
        <v>27094</v>
      </c>
      <c r="J27" s="108">
        <f t="shared" si="21"/>
        <v>5301</v>
      </c>
      <c r="K27" s="107">
        <f t="shared" si="22"/>
        <v>91295</v>
      </c>
      <c r="L27" s="108">
        <f t="shared" si="23"/>
        <v>2400</v>
      </c>
      <c r="M27" s="108">
        <f t="shared" si="24"/>
        <v>1104</v>
      </c>
      <c r="N27" s="108">
        <f t="shared" si="25"/>
        <v>216</v>
      </c>
      <c r="O27" s="118">
        <f t="shared" si="26"/>
        <v>3720</v>
      </c>
      <c r="P27" s="108">
        <f t="shared" si="27"/>
        <v>2452</v>
      </c>
      <c r="Q27" s="108">
        <f t="shared" si="28"/>
        <v>2356</v>
      </c>
      <c r="R27" s="107">
        <f t="shared" si="29"/>
        <v>96</v>
      </c>
      <c r="S27" s="111">
        <f t="shared" si="30"/>
        <v>875</v>
      </c>
      <c r="T27" s="111">
        <f t="shared" si="31"/>
        <v>875</v>
      </c>
      <c r="U27" s="107">
        <f t="shared" si="32"/>
        <v>0</v>
      </c>
      <c r="V27" s="108">
        <f t="shared" si="33"/>
        <v>0</v>
      </c>
      <c r="W27" s="112"/>
      <c r="X27" s="107">
        <f t="shared" si="34"/>
        <v>0</v>
      </c>
      <c r="Y27" s="119">
        <f t="shared" si="35"/>
        <v>96</v>
      </c>
      <c r="Z27" s="120">
        <f t="shared" si="36"/>
        <v>3624</v>
      </c>
      <c r="AW27" s="171"/>
      <c r="AX27" s="171"/>
      <c r="AY27" s="115">
        <f t="shared" si="0"/>
        <v>9</v>
      </c>
      <c r="BA27" s="115">
        <f t="shared" si="1"/>
        <v>50</v>
      </c>
      <c r="BB27" s="135">
        <v>45383</v>
      </c>
      <c r="BC27" s="134">
        <f>IF(AND(BB27&gt;$P$8),"",DATE($R$4,($Q$4+12),1))</f>
        <v>45383</v>
      </c>
      <c r="BD27" s="136">
        <f t="shared" si="2"/>
        <v>45383</v>
      </c>
      <c r="BE27" s="136">
        <f t="shared" si="3"/>
        <v>45383</v>
      </c>
      <c r="BF27" s="136">
        <f t="shared" si="4"/>
        <v>45383</v>
      </c>
      <c r="BG27" s="115">
        <f t="shared" si="11"/>
        <v>61300</v>
      </c>
      <c r="BH27" s="115">
        <f t="shared" si="7"/>
        <v>30650</v>
      </c>
      <c r="BI27" s="115">
        <f t="shared" si="8"/>
        <v>5517</v>
      </c>
      <c r="BJ27" s="115">
        <f t="shared" si="12"/>
        <v>58900</v>
      </c>
      <c r="BK27" s="115">
        <f t="shared" si="9"/>
        <v>29450</v>
      </c>
      <c r="BL27" s="115">
        <f t="shared" si="10"/>
        <v>5301</v>
      </c>
      <c r="BM27" s="115" t="str">
        <f t="shared" si="5"/>
        <v/>
      </c>
      <c r="BN27" s="115" t="str">
        <f t="shared" si="6"/>
        <v/>
      </c>
    </row>
    <row r="28" spans="1:76" ht="17.45" customHeight="1">
      <c r="A28" s="115">
        <f t="shared" si="37"/>
        <v>6</v>
      </c>
      <c r="B28" s="108">
        <f t="shared" si="13"/>
        <v>6</v>
      </c>
      <c r="C28" s="110">
        <f t="shared" si="14"/>
        <v>45170</v>
      </c>
      <c r="D28" s="108">
        <f t="shared" si="15"/>
        <v>61300</v>
      </c>
      <c r="E28" s="108">
        <f t="shared" si="16"/>
        <v>28198</v>
      </c>
      <c r="F28" s="108">
        <f t="shared" si="17"/>
        <v>5517</v>
      </c>
      <c r="G28" s="107">
        <f t="shared" si="18"/>
        <v>95015</v>
      </c>
      <c r="H28" s="108">
        <f t="shared" si="19"/>
        <v>58900</v>
      </c>
      <c r="I28" s="108">
        <f t="shared" si="20"/>
        <v>27094</v>
      </c>
      <c r="J28" s="108">
        <f t="shared" si="21"/>
        <v>5301</v>
      </c>
      <c r="K28" s="107">
        <f t="shared" si="22"/>
        <v>91295</v>
      </c>
      <c r="L28" s="108">
        <f t="shared" si="23"/>
        <v>2400</v>
      </c>
      <c r="M28" s="108">
        <f t="shared" si="24"/>
        <v>1104</v>
      </c>
      <c r="N28" s="108">
        <f t="shared" si="25"/>
        <v>216</v>
      </c>
      <c r="O28" s="118">
        <f t="shared" si="26"/>
        <v>3720</v>
      </c>
      <c r="P28" s="108">
        <f t="shared" si="27"/>
        <v>2452</v>
      </c>
      <c r="Q28" s="108">
        <f t="shared" si="28"/>
        <v>2356</v>
      </c>
      <c r="R28" s="107">
        <f t="shared" si="29"/>
        <v>96</v>
      </c>
      <c r="S28" s="111">
        <f t="shared" si="30"/>
        <v>875</v>
      </c>
      <c r="T28" s="111">
        <f t="shared" si="31"/>
        <v>875</v>
      </c>
      <c r="U28" s="107">
        <f t="shared" si="32"/>
        <v>0</v>
      </c>
      <c r="V28" s="108">
        <f t="shared" si="33"/>
        <v>0</v>
      </c>
      <c r="W28" s="112"/>
      <c r="X28" s="107">
        <f t="shared" si="34"/>
        <v>0</v>
      </c>
      <c r="Y28" s="119">
        <f t="shared" si="35"/>
        <v>96</v>
      </c>
      <c r="Z28" s="120">
        <f t="shared" si="36"/>
        <v>3624</v>
      </c>
      <c r="AW28" s="171"/>
      <c r="AX28" s="171"/>
      <c r="AY28" s="115">
        <f t="shared" si="0"/>
        <v>9</v>
      </c>
      <c r="BA28" s="115">
        <f t="shared" si="1"/>
        <v>50</v>
      </c>
      <c r="BB28" s="135">
        <v>45413</v>
      </c>
      <c r="BC28" s="134">
        <f>IF(AND(BB28&gt;$P$8),"",DATE($R$4,($Q$4+13),1))</f>
        <v>45413</v>
      </c>
      <c r="BD28" s="136">
        <f t="shared" si="2"/>
        <v>45413</v>
      </c>
      <c r="BE28" s="136">
        <f t="shared" si="3"/>
        <v>45413</v>
      </c>
      <c r="BF28" s="136">
        <f t="shared" si="4"/>
        <v>45413</v>
      </c>
      <c r="BG28" s="115">
        <f t="shared" si="11"/>
        <v>61300</v>
      </c>
      <c r="BH28" s="115">
        <f t="shared" si="7"/>
        <v>30650</v>
      </c>
      <c r="BI28" s="115">
        <f t="shared" si="8"/>
        <v>5517</v>
      </c>
      <c r="BJ28" s="115">
        <f t="shared" si="12"/>
        <v>58900</v>
      </c>
      <c r="BK28" s="115">
        <f t="shared" si="9"/>
        <v>29450</v>
      </c>
      <c r="BL28" s="115">
        <f t="shared" si="10"/>
        <v>5301</v>
      </c>
      <c r="BM28" s="115" t="str">
        <f t="shared" si="5"/>
        <v/>
      </c>
      <c r="BN28" s="115" t="str">
        <f t="shared" si="6"/>
        <v/>
      </c>
    </row>
    <row r="29" spans="1:76" ht="17.45" customHeight="1">
      <c r="A29" s="115">
        <f t="shared" si="37"/>
        <v>7</v>
      </c>
      <c r="B29" s="108">
        <f t="shared" si="13"/>
        <v>7</v>
      </c>
      <c r="C29" s="110">
        <f t="shared" si="14"/>
        <v>45200</v>
      </c>
      <c r="D29" s="108">
        <f t="shared" si="15"/>
        <v>61300</v>
      </c>
      <c r="E29" s="108">
        <f t="shared" si="16"/>
        <v>28198</v>
      </c>
      <c r="F29" s="108">
        <f t="shared" si="17"/>
        <v>5517</v>
      </c>
      <c r="G29" s="107">
        <f t="shared" si="18"/>
        <v>95015</v>
      </c>
      <c r="H29" s="108">
        <f t="shared" si="19"/>
        <v>58900</v>
      </c>
      <c r="I29" s="108">
        <f t="shared" si="20"/>
        <v>27094</v>
      </c>
      <c r="J29" s="108">
        <f t="shared" si="21"/>
        <v>5301</v>
      </c>
      <c r="K29" s="107">
        <f t="shared" si="22"/>
        <v>91295</v>
      </c>
      <c r="L29" s="108">
        <f t="shared" si="23"/>
        <v>2400</v>
      </c>
      <c r="M29" s="108">
        <f t="shared" si="24"/>
        <v>1104</v>
      </c>
      <c r="N29" s="108">
        <f t="shared" si="25"/>
        <v>216</v>
      </c>
      <c r="O29" s="118">
        <f t="shared" si="26"/>
        <v>3720</v>
      </c>
      <c r="P29" s="108">
        <f t="shared" si="27"/>
        <v>2452</v>
      </c>
      <c r="Q29" s="108">
        <f t="shared" si="28"/>
        <v>2356</v>
      </c>
      <c r="R29" s="107">
        <f t="shared" si="29"/>
        <v>96</v>
      </c>
      <c r="S29" s="111">
        <f t="shared" si="30"/>
        <v>875</v>
      </c>
      <c r="T29" s="111">
        <f t="shared" si="31"/>
        <v>875</v>
      </c>
      <c r="U29" s="107">
        <f t="shared" si="32"/>
        <v>0</v>
      </c>
      <c r="V29" s="108">
        <f t="shared" si="33"/>
        <v>0</v>
      </c>
      <c r="W29" s="112"/>
      <c r="X29" s="107">
        <f t="shared" si="34"/>
        <v>0</v>
      </c>
      <c r="Y29" s="119">
        <f t="shared" si="35"/>
        <v>96</v>
      </c>
      <c r="Z29" s="120">
        <f t="shared" si="36"/>
        <v>3624</v>
      </c>
      <c r="AW29" s="171"/>
      <c r="AX29" s="171"/>
      <c r="AY29" s="115">
        <f t="shared" si="0"/>
        <v>9</v>
      </c>
      <c r="BA29" s="115">
        <f t="shared" si="1"/>
        <v>50</v>
      </c>
      <c r="BB29" s="135">
        <v>45444</v>
      </c>
      <c r="BC29" s="134">
        <f>IF(AND(BB29&gt;$P$8),"",DATE($R$4,($Q$4+14),1))</f>
        <v>45444</v>
      </c>
      <c r="BD29" s="136">
        <f t="shared" si="2"/>
        <v>45444</v>
      </c>
      <c r="BE29" s="136">
        <f t="shared" si="3"/>
        <v>45444</v>
      </c>
      <c r="BF29" s="136">
        <f t="shared" si="4"/>
        <v>45444</v>
      </c>
      <c r="BG29" s="115">
        <f t="shared" si="11"/>
        <v>61300</v>
      </c>
      <c r="BH29" s="115">
        <f t="shared" si="7"/>
        <v>30650</v>
      </c>
      <c r="BI29" s="115">
        <f t="shared" si="8"/>
        <v>5517</v>
      </c>
      <c r="BJ29" s="115">
        <f t="shared" si="12"/>
        <v>58900</v>
      </c>
      <c r="BK29" s="115">
        <f t="shared" si="9"/>
        <v>29450</v>
      </c>
      <c r="BL29" s="115">
        <f t="shared" si="10"/>
        <v>5301</v>
      </c>
      <c r="BM29" s="115" t="str">
        <f t="shared" si="5"/>
        <v/>
      </c>
      <c r="BN29" s="115" t="str">
        <f t="shared" si="6"/>
        <v/>
      </c>
    </row>
    <row r="30" spans="1:76" ht="17.45" customHeight="1">
      <c r="A30" s="115">
        <f t="shared" si="37"/>
        <v>8</v>
      </c>
      <c r="B30" s="108">
        <f t="shared" si="13"/>
        <v>8</v>
      </c>
      <c r="C30" s="110">
        <f t="shared" si="14"/>
        <v>45231</v>
      </c>
      <c r="D30" s="108">
        <f t="shared" si="15"/>
        <v>61300</v>
      </c>
      <c r="E30" s="108">
        <f t="shared" si="16"/>
        <v>28198</v>
      </c>
      <c r="F30" s="108">
        <f t="shared" si="17"/>
        <v>5517</v>
      </c>
      <c r="G30" s="107">
        <f t="shared" si="18"/>
        <v>95015</v>
      </c>
      <c r="H30" s="108">
        <f t="shared" si="19"/>
        <v>58900</v>
      </c>
      <c r="I30" s="108">
        <f t="shared" si="20"/>
        <v>27094</v>
      </c>
      <c r="J30" s="108">
        <f t="shared" si="21"/>
        <v>5301</v>
      </c>
      <c r="K30" s="107">
        <f t="shared" si="22"/>
        <v>91295</v>
      </c>
      <c r="L30" s="108">
        <f t="shared" si="23"/>
        <v>2400</v>
      </c>
      <c r="M30" s="108">
        <f t="shared" si="24"/>
        <v>1104</v>
      </c>
      <c r="N30" s="108">
        <f t="shared" si="25"/>
        <v>216</v>
      </c>
      <c r="O30" s="118">
        <f t="shared" si="26"/>
        <v>3720</v>
      </c>
      <c r="P30" s="108" t="str">
        <f t="shared" si="27"/>
        <v/>
      </c>
      <c r="Q30" s="108" t="str">
        <f t="shared" si="28"/>
        <v/>
      </c>
      <c r="R30" s="107" t="str">
        <f t="shared" si="29"/>
        <v/>
      </c>
      <c r="S30" s="111">
        <f t="shared" si="30"/>
        <v>875</v>
      </c>
      <c r="T30" s="111">
        <f t="shared" si="31"/>
        <v>875</v>
      </c>
      <c r="U30" s="107">
        <f t="shared" si="32"/>
        <v>0</v>
      </c>
      <c r="V30" s="108">
        <f t="shared" si="33"/>
        <v>0</v>
      </c>
      <c r="W30" s="112"/>
      <c r="X30" s="107">
        <f t="shared" si="34"/>
        <v>0</v>
      </c>
      <c r="Y30" s="119">
        <f t="shared" si="35"/>
        <v>0</v>
      </c>
      <c r="Z30" s="120">
        <f t="shared" si="36"/>
        <v>3720</v>
      </c>
      <c r="AW30" s="171"/>
      <c r="AX30" s="171"/>
      <c r="AY30" s="115">
        <f t="shared" si="0"/>
        <v>9</v>
      </c>
      <c r="BA30" s="115">
        <f t="shared" si="1"/>
        <v>53</v>
      </c>
      <c r="BB30" s="135">
        <v>45474</v>
      </c>
      <c r="BC30" s="134">
        <f>IF(AND(BB30&gt;$P$8),"",DATE($R$4,($Q$4+15),1))</f>
        <v>45474</v>
      </c>
      <c r="BD30" s="136">
        <f t="shared" si="2"/>
        <v>45474</v>
      </c>
      <c r="BE30" s="136">
        <f t="shared" si="3"/>
        <v>45474</v>
      </c>
      <c r="BF30" s="136">
        <f t="shared" si="4"/>
        <v>45474</v>
      </c>
      <c r="BG30" s="115">
        <f t="shared" si="11"/>
        <v>63100</v>
      </c>
      <c r="BH30" s="115">
        <f t="shared" si="7"/>
        <v>33443</v>
      </c>
      <c r="BI30" s="115">
        <f t="shared" si="8"/>
        <v>5679</v>
      </c>
      <c r="BJ30" s="115">
        <f t="shared" si="12"/>
        <v>60700</v>
      </c>
      <c r="BK30" s="115">
        <f t="shared" si="9"/>
        <v>32171</v>
      </c>
      <c r="BL30" s="115">
        <f t="shared" si="10"/>
        <v>5463</v>
      </c>
      <c r="BM30" s="115">
        <f t="shared" si="5"/>
        <v>1893</v>
      </c>
      <c r="BN30" s="115">
        <f t="shared" si="6"/>
        <v>1821</v>
      </c>
    </row>
    <row r="31" spans="1:76" ht="17.45" customHeight="1">
      <c r="A31" s="115">
        <f t="shared" si="37"/>
        <v>9</v>
      </c>
      <c r="B31" s="108">
        <f t="shared" si="13"/>
        <v>9</v>
      </c>
      <c r="C31" s="110">
        <f t="shared" si="14"/>
        <v>45261</v>
      </c>
      <c r="D31" s="108">
        <f t="shared" si="15"/>
        <v>61300</v>
      </c>
      <c r="E31" s="108">
        <f t="shared" si="16"/>
        <v>28198</v>
      </c>
      <c r="F31" s="108">
        <f t="shared" si="17"/>
        <v>5517</v>
      </c>
      <c r="G31" s="107">
        <f t="shared" si="18"/>
        <v>95015</v>
      </c>
      <c r="H31" s="108">
        <f t="shared" si="19"/>
        <v>58900</v>
      </c>
      <c r="I31" s="108">
        <f t="shared" si="20"/>
        <v>27094</v>
      </c>
      <c r="J31" s="108">
        <f t="shared" si="21"/>
        <v>5301</v>
      </c>
      <c r="K31" s="107">
        <f t="shared" si="22"/>
        <v>91295</v>
      </c>
      <c r="L31" s="108">
        <f t="shared" si="23"/>
        <v>2400</v>
      </c>
      <c r="M31" s="108">
        <f t="shared" si="24"/>
        <v>1104</v>
      </c>
      <c r="N31" s="108">
        <f t="shared" si="25"/>
        <v>216</v>
      </c>
      <c r="O31" s="118">
        <f t="shared" si="26"/>
        <v>3720</v>
      </c>
      <c r="P31" s="108" t="str">
        <f t="shared" si="27"/>
        <v/>
      </c>
      <c r="Q31" s="108" t="str">
        <f t="shared" si="28"/>
        <v/>
      </c>
      <c r="R31" s="107" t="str">
        <f t="shared" si="29"/>
        <v/>
      </c>
      <c r="S31" s="111">
        <f t="shared" si="30"/>
        <v>875</v>
      </c>
      <c r="T31" s="111">
        <f t="shared" si="31"/>
        <v>875</v>
      </c>
      <c r="U31" s="107">
        <f t="shared" si="32"/>
        <v>0</v>
      </c>
      <c r="V31" s="108">
        <f t="shared" si="33"/>
        <v>0</v>
      </c>
      <c r="W31" s="112"/>
      <c r="X31" s="107">
        <f t="shared" si="34"/>
        <v>0</v>
      </c>
      <c r="Y31" s="119">
        <f t="shared" si="35"/>
        <v>0</v>
      </c>
      <c r="Z31" s="120">
        <f t="shared" si="36"/>
        <v>3720</v>
      </c>
      <c r="AW31" s="171"/>
      <c r="AX31" s="171"/>
      <c r="AY31" s="115">
        <f t="shared" si="0"/>
        <v>9</v>
      </c>
      <c r="BA31" s="115">
        <f t="shared" si="1"/>
        <v>53</v>
      </c>
      <c r="BB31" s="135">
        <v>45505</v>
      </c>
      <c r="BC31" s="134">
        <f>IF(AND(BB31&gt;$P$8),"",DATE($R$4,($Q$4+16),1))</f>
        <v>45505</v>
      </c>
      <c r="BD31" s="136">
        <f t="shared" si="2"/>
        <v>45505</v>
      </c>
      <c r="BE31" s="136">
        <f t="shared" si="3"/>
        <v>45505</v>
      </c>
      <c r="BF31" s="136">
        <f t="shared" si="4"/>
        <v>45505</v>
      </c>
      <c r="BG31" s="115">
        <f t="shared" si="11"/>
        <v>63100</v>
      </c>
      <c r="BH31" s="115">
        <f t="shared" si="7"/>
        <v>33443</v>
      </c>
      <c r="BI31" s="115">
        <f t="shared" si="8"/>
        <v>5679</v>
      </c>
      <c r="BJ31" s="115">
        <f t="shared" si="12"/>
        <v>60700</v>
      </c>
      <c r="BK31" s="115">
        <f t="shared" si="9"/>
        <v>32171</v>
      </c>
      <c r="BL31" s="115">
        <f t="shared" si="10"/>
        <v>5463</v>
      </c>
      <c r="BM31" s="115">
        <f t="shared" si="5"/>
        <v>1893</v>
      </c>
      <c r="BN31" s="115">
        <f t="shared" si="6"/>
        <v>1821</v>
      </c>
    </row>
    <row r="32" spans="1:76" ht="17.45" customHeight="1">
      <c r="A32" s="115">
        <f t="shared" si="37"/>
        <v>10</v>
      </c>
      <c r="B32" s="108">
        <f t="shared" si="13"/>
        <v>10</v>
      </c>
      <c r="C32" s="110">
        <f t="shared" si="14"/>
        <v>45292</v>
      </c>
      <c r="D32" s="108">
        <f t="shared" si="15"/>
        <v>61300</v>
      </c>
      <c r="E32" s="108">
        <f t="shared" si="16"/>
        <v>30650</v>
      </c>
      <c r="F32" s="108">
        <f t="shared" si="17"/>
        <v>5517</v>
      </c>
      <c r="G32" s="107">
        <f t="shared" si="18"/>
        <v>97467</v>
      </c>
      <c r="H32" s="108">
        <f t="shared" si="19"/>
        <v>58900</v>
      </c>
      <c r="I32" s="108">
        <f t="shared" si="20"/>
        <v>29450</v>
      </c>
      <c r="J32" s="108">
        <f t="shared" si="21"/>
        <v>5301</v>
      </c>
      <c r="K32" s="107">
        <f t="shared" si="22"/>
        <v>93651</v>
      </c>
      <c r="L32" s="108">
        <f t="shared" si="23"/>
        <v>2400</v>
      </c>
      <c r="M32" s="108">
        <f t="shared" si="24"/>
        <v>1200</v>
      </c>
      <c r="N32" s="108">
        <f t="shared" si="25"/>
        <v>216</v>
      </c>
      <c r="O32" s="118">
        <f t="shared" si="26"/>
        <v>3816</v>
      </c>
      <c r="P32" s="108">
        <f t="shared" si="27"/>
        <v>2452</v>
      </c>
      <c r="Q32" s="108">
        <f t="shared" si="28"/>
        <v>2356</v>
      </c>
      <c r="R32" s="107">
        <f t="shared" si="29"/>
        <v>96</v>
      </c>
      <c r="S32" s="111">
        <f t="shared" si="30"/>
        <v>875</v>
      </c>
      <c r="T32" s="111">
        <f t="shared" si="31"/>
        <v>875</v>
      </c>
      <c r="U32" s="107">
        <f t="shared" si="32"/>
        <v>0</v>
      </c>
      <c r="V32" s="108">
        <f t="shared" si="33"/>
        <v>0</v>
      </c>
      <c r="W32" s="112"/>
      <c r="X32" s="107">
        <f t="shared" si="34"/>
        <v>0</v>
      </c>
      <c r="Y32" s="119">
        <f t="shared" si="35"/>
        <v>96</v>
      </c>
      <c r="Z32" s="120">
        <f t="shared" si="36"/>
        <v>3720</v>
      </c>
      <c r="AW32" s="171"/>
      <c r="AX32" s="171"/>
      <c r="AY32" s="115">
        <f t="shared" si="0"/>
        <v>9</v>
      </c>
      <c r="BA32" s="115">
        <f t="shared" si="1"/>
        <v>53</v>
      </c>
      <c r="BB32" s="135">
        <v>45536</v>
      </c>
      <c r="BC32" s="134">
        <f>IF(AND(BB32&gt;$P$8),"",DATE($R$4,($Q$4+17),1))</f>
        <v>45536</v>
      </c>
      <c r="BD32" s="136">
        <f t="shared" si="2"/>
        <v>45536</v>
      </c>
      <c r="BE32" s="136">
        <f t="shared" si="3"/>
        <v>45536</v>
      </c>
      <c r="BF32" s="136">
        <f t="shared" si="4"/>
        <v>45536</v>
      </c>
      <c r="BG32" s="115">
        <f t="shared" si="11"/>
        <v>63100</v>
      </c>
      <c r="BH32" s="115">
        <f t="shared" si="7"/>
        <v>33443</v>
      </c>
      <c r="BI32" s="115">
        <f t="shared" si="8"/>
        <v>5679</v>
      </c>
      <c r="BJ32" s="115">
        <f t="shared" si="12"/>
        <v>60700</v>
      </c>
      <c r="BK32" s="115">
        <f t="shared" si="9"/>
        <v>32171</v>
      </c>
      <c r="BL32" s="115">
        <f t="shared" si="10"/>
        <v>5463</v>
      </c>
      <c r="BM32" s="115">
        <f t="shared" si="5"/>
        <v>1893</v>
      </c>
      <c r="BN32" s="115">
        <f t="shared" si="6"/>
        <v>1821</v>
      </c>
    </row>
    <row r="33" spans="1:66" ht="17.45" customHeight="1">
      <c r="A33" s="115">
        <f t="shared" si="37"/>
        <v>11</v>
      </c>
      <c r="B33" s="108">
        <f t="shared" si="13"/>
        <v>11</v>
      </c>
      <c r="C33" s="110">
        <f t="shared" si="14"/>
        <v>45323</v>
      </c>
      <c r="D33" s="108">
        <f t="shared" si="15"/>
        <v>61300</v>
      </c>
      <c r="E33" s="108">
        <f t="shared" si="16"/>
        <v>30650</v>
      </c>
      <c r="F33" s="108">
        <f t="shared" si="17"/>
        <v>5517</v>
      </c>
      <c r="G33" s="107">
        <f t="shared" si="18"/>
        <v>97467</v>
      </c>
      <c r="H33" s="108">
        <f t="shared" si="19"/>
        <v>58900</v>
      </c>
      <c r="I33" s="108">
        <f t="shared" si="20"/>
        <v>29450</v>
      </c>
      <c r="J33" s="108">
        <f t="shared" si="21"/>
        <v>5301</v>
      </c>
      <c r="K33" s="107">
        <f t="shared" si="22"/>
        <v>93651</v>
      </c>
      <c r="L33" s="108">
        <f t="shared" si="23"/>
        <v>2400</v>
      </c>
      <c r="M33" s="108">
        <f t="shared" si="24"/>
        <v>1200</v>
      </c>
      <c r="N33" s="108">
        <f t="shared" si="25"/>
        <v>216</v>
      </c>
      <c r="O33" s="118">
        <f t="shared" si="26"/>
        <v>3816</v>
      </c>
      <c r="P33" s="108">
        <f t="shared" si="27"/>
        <v>2452</v>
      </c>
      <c r="Q33" s="108">
        <f t="shared" si="28"/>
        <v>2356</v>
      </c>
      <c r="R33" s="107">
        <f t="shared" si="29"/>
        <v>96</v>
      </c>
      <c r="S33" s="111">
        <f t="shared" si="30"/>
        <v>875</v>
      </c>
      <c r="T33" s="111">
        <f t="shared" si="31"/>
        <v>875</v>
      </c>
      <c r="U33" s="107">
        <f t="shared" si="32"/>
        <v>0</v>
      </c>
      <c r="V33" s="108">
        <f t="shared" si="33"/>
        <v>0</v>
      </c>
      <c r="W33" s="112"/>
      <c r="X33" s="107">
        <f t="shared" si="34"/>
        <v>0</v>
      </c>
      <c r="Y33" s="119">
        <f t="shared" si="35"/>
        <v>96</v>
      </c>
      <c r="Z33" s="120">
        <f t="shared" si="36"/>
        <v>3720</v>
      </c>
      <c r="AW33" s="171"/>
      <c r="AX33" s="171"/>
      <c r="AY33" s="115">
        <f t="shared" si="0"/>
        <v>9</v>
      </c>
      <c r="BA33" s="115">
        <f t="shared" si="1"/>
        <v>53</v>
      </c>
      <c r="BB33" s="135">
        <v>45566</v>
      </c>
      <c r="BC33" s="134">
        <f>IF(AND(BB33&gt;$P$8),"",DATE($R$4,($Q$4+18),1))</f>
        <v>45566</v>
      </c>
      <c r="BD33" s="136">
        <f t="shared" si="2"/>
        <v>45566</v>
      </c>
      <c r="BE33" s="136">
        <f t="shared" si="3"/>
        <v>45566</v>
      </c>
      <c r="BF33" s="136">
        <f t="shared" si="4"/>
        <v>45566</v>
      </c>
      <c r="BG33" s="115">
        <f t="shared" si="11"/>
        <v>63100</v>
      </c>
      <c r="BH33" s="115">
        <f t="shared" si="7"/>
        <v>33443</v>
      </c>
      <c r="BI33" s="115">
        <f t="shared" si="8"/>
        <v>5679</v>
      </c>
      <c r="BJ33" s="115">
        <f t="shared" si="12"/>
        <v>60700</v>
      </c>
      <c r="BK33" s="115">
        <f t="shared" si="9"/>
        <v>32171</v>
      </c>
      <c r="BL33" s="115">
        <f t="shared" si="10"/>
        <v>5463</v>
      </c>
      <c r="BM33" s="115">
        <f t="shared" si="5"/>
        <v>1893</v>
      </c>
      <c r="BN33" s="115">
        <f t="shared" si="6"/>
        <v>1821</v>
      </c>
    </row>
    <row r="34" spans="1:66" ht="17.45" customHeight="1">
      <c r="A34" s="115">
        <f t="shared" si="37"/>
        <v>12</v>
      </c>
      <c r="B34" s="108">
        <f t="shared" ref="B34" si="38">IFERROR(IF(A34="","",IF(A34=0,"",A34)),"")</f>
        <v>12</v>
      </c>
      <c r="C34" s="110">
        <f t="shared" ref="C34" si="39">IFERROR(IF(OR($P$6="",$P$8="",$P$4="",$Q$4="",$R$4=""),"",IF(AND($P$6&gt;$P$8),"",BF26)),"")</f>
        <v>45352</v>
      </c>
      <c r="D34" s="108">
        <f t="shared" ref="D34" si="40">IFERROR(IF(C34="","",BG26),"")</f>
        <v>61300</v>
      </c>
      <c r="E34" s="108">
        <f t="shared" ref="E34" si="41">IFERROR(IF(D34="","",IF(C34="","",BH26)),"")</f>
        <v>30650</v>
      </c>
      <c r="F34" s="108">
        <f t="shared" ref="F34" si="42">IFERROR(IF(D34="","",IF(C34="","",BI26)),"")</f>
        <v>5517</v>
      </c>
      <c r="G34" s="107">
        <f t="shared" ref="G34" si="43">IFERROR(IF(C34="","",IF(D34="","",SUM(D34:F34))),"")</f>
        <v>97467</v>
      </c>
      <c r="H34" s="108">
        <f t="shared" ref="H34" si="44">IFERROR(IF(C34="","",BJ26),"")</f>
        <v>58900</v>
      </c>
      <c r="I34" s="108">
        <f t="shared" ref="I34" si="45">IFERROR(IF(H34="","",IF(C34="","",BK26)),"")</f>
        <v>29450</v>
      </c>
      <c r="J34" s="108">
        <f t="shared" ref="J34" si="46">IFERROR(IF(H34="","",IF(C34="","",BL26)),"")</f>
        <v>5301</v>
      </c>
      <c r="K34" s="107">
        <f t="shared" ref="K34" si="47">IFERROR(IF(C34="","",IF(H34="","",SUM(H34:J34))),"")</f>
        <v>93651</v>
      </c>
      <c r="L34" s="108">
        <f t="shared" ref="L34" si="48">IFERROR(IF(C34="","",IF(OR(D34="",H34=""),"",SUM(D34-H34))),"")</f>
        <v>2400</v>
      </c>
      <c r="M34" s="108">
        <f t="shared" ref="M34" si="49">IFERROR(IF(C34="","",IF(OR(E34="",I34=""),"",SUM(E34-I34))),"")</f>
        <v>1200</v>
      </c>
      <c r="N34" s="108">
        <f t="shared" ref="N34" si="50">IFERROR(IF(C34="","",IF(OR(F34="",J34=""),"",SUM(F34-J34))),"")</f>
        <v>216</v>
      </c>
      <c r="O34" s="118">
        <f t="shared" ref="O34" si="51">IFERROR(IF(C34="","",IF(OR(G34="",K34=""),"",SUM(G34-K34))),"")</f>
        <v>3816</v>
      </c>
      <c r="P34" s="108" t="str">
        <f t="shared" ref="P34" si="52">IFERROR(IF(D34="","",IF(C34="","",BM26)),"")</f>
        <v/>
      </c>
      <c r="Q34" s="108" t="str">
        <f t="shared" ref="Q34" si="53">IFERROR(IF(H34="","",IF(C34="","",BN26)),"")</f>
        <v/>
      </c>
      <c r="R34" s="107" t="str">
        <f t="shared" ref="R34" si="54">IFERROR(IF(C34="","",IF(AND(P34="",Q34=""),"",SUM(P34-Q34))),"")</f>
        <v/>
      </c>
      <c r="S34" s="170">
        <f t="shared" ref="S34" si="55">IFERROR(IF(C34="","",IF($Z$2="","",IF($Z$2&lt;18001,265,IF($Z$2&lt;33501,440,IF($Z$2&lt;54001,658,875))))),"")</f>
        <v>875</v>
      </c>
      <c r="T34" s="170">
        <f t="shared" ref="T34" si="56">IFERROR(IF(C34="","",IF($Z$2="","",IF($Z$2&lt;18001,265,IF($Z$2&lt;33501,440,IF($Z$2&lt;54001,658,875))))),"")</f>
        <v>875</v>
      </c>
      <c r="U34" s="107">
        <f t="shared" ref="U34" si="57">IFERROR(IF(C34="","",IF(AND(S34="",T34=""),"",SUM(S34-T34))),"")</f>
        <v>0</v>
      </c>
      <c r="V34" s="108">
        <f t="shared" ref="V34" si="58">IFERROR(IF($X$10="","",IF(C34="","",IF(O34="","",ROUND(O34*$X$10%,0)))),"")</f>
        <v>0</v>
      </c>
      <c r="W34" s="112"/>
      <c r="X34" s="107">
        <f t="shared" ref="X34" si="59">IFERROR(IF(C34="","",IF(AND(V34="",W34=""),"",SUM(V34-W34))),"")</f>
        <v>0</v>
      </c>
      <c r="Y34" s="119">
        <f t="shared" ref="Y34" si="60">IFERROR(IF(C34="","",IF(AND(R34="",U34="",X34=""),"",SUM(R34,U34,X34))),"")</f>
        <v>0</v>
      </c>
      <c r="Z34" s="120">
        <f t="shared" ref="Z34" si="61">IFERROR(IF(C34="","",IF(AND(O34="",Y34=""),"",SUM(O34-Y34))),"")</f>
        <v>3816</v>
      </c>
      <c r="AW34" s="171"/>
      <c r="AX34" s="171"/>
      <c r="AY34" s="115">
        <f t="shared" si="0"/>
        <v>10</v>
      </c>
      <c r="AZ34" s="133">
        <f>DATE(YEAR(R4),MONTH(Q4)+1,DAY(P4))</f>
        <v>1882</v>
      </c>
      <c r="BA34" s="115">
        <f t="shared" si="1"/>
        <v>53</v>
      </c>
      <c r="BB34" s="135">
        <v>45597</v>
      </c>
      <c r="BC34" s="134">
        <f>IF(AND(BB34&gt;$P$8),"",DATE($R$4,($Q$4+19),1))</f>
        <v>45597</v>
      </c>
      <c r="BD34" s="136">
        <f t="shared" si="2"/>
        <v>45597</v>
      </c>
      <c r="BE34" s="136">
        <f t="shared" si="3"/>
        <v>45597</v>
      </c>
      <c r="BF34" s="136">
        <f t="shared" si="4"/>
        <v>45597</v>
      </c>
      <c r="BG34" s="115">
        <f t="shared" si="11"/>
        <v>63100</v>
      </c>
      <c r="BH34" s="115">
        <f t="shared" si="7"/>
        <v>33443</v>
      </c>
      <c r="BI34" s="115">
        <f t="shared" si="8"/>
        <v>6310</v>
      </c>
      <c r="BJ34" s="115">
        <f t="shared" si="12"/>
        <v>60700</v>
      </c>
      <c r="BK34" s="115">
        <f t="shared" si="9"/>
        <v>32171</v>
      </c>
      <c r="BL34" s="115">
        <f t="shared" si="10"/>
        <v>6070</v>
      </c>
      <c r="BM34" s="115" t="str">
        <f t="shared" si="5"/>
        <v/>
      </c>
      <c r="BN34" s="115" t="str">
        <f t="shared" si="6"/>
        <v/>
      </c>
    </row>
    <row r="35" spans="1:66" ht="17.45" customHeight="1">
      <c r="A35" s="115">
        <f t="shared" si="37"/>
        <v>13</v>
      </c>
      <c r="B35" s="108">
        <f t="shared" ref="B35:B45" si="62">IFERROR(IF(A35="","",IF(A35=0,"",A35)),"")</f>
        <v>13</v>
      </c>
      <c r="C35" s="110">
        <f t="shared" ref="C35:C44" si="63">IFERROR(IF(OR($P$6="",$P$8="",$P$4="",$Q$4="",$R$4=""),"",IF(AND($P$6&gt;$P$8),"",BF27)),"")</f>
        <v>45383</v>
      </c>
      <c r="D35" s="108">
        <f t="shared" ref="D35:D45" si="64">IFERROR(IF(C35="","",BG27),"")</f>
        <v>61300</v>
      </c>
      <c r="E35" s="108">
        <f t="shared" ref="E35:E45" si="65">IFERROR(IF(D35="","",IF(C35="","",BH27)),"")</f>
        <v>30650</v>
      </c>
      <c r="F35" s="108">
        <f t="shared" ref="F35:F45" si="66">IFERROR(IF(D35="","",IF(C35="","",BI27)),"")</f>
        <v>5517</v>
      </c>
      <c r="G35" s="107">
        <f t="shared" ref="G35:G45" si="67">IFERROR(IF(C35="","",IF(D35="","",SUM(D35:F35))),"")</f>
        <v>97467</v>
      </c>
      <c r="H35" s="108">
        <f t="shared" ref="H35:H45" si="68">IFERROR(IF(C35="","",BJ27),"")</f>
        <v>58900</v>
      </c>
      <c r="I35" s="108">
        <f t="shared" ref="I35:I45" si="69">IFERROR(IF(H35="","",IF(C35="","",BK27)),"")</f>
        <v>29450</v>
      </c>
      <c r="J35" s="108">
        <f t="shared" ref="J35:J45" si="70">IFERROR(IF(H35="","",IF(C35="","",BL27)),"")</f>
        <v>5301</v>
      </c>
      <c r="K35" s="107">
        <f t="shared" ref="K35:K45" si="71">IFERROR(IF(C35="","",IF(H35="","",SUM(H35:J35))),"")</f>
        <v>93651</v>
      </c>
      <c r="L35" s="108">
        <f t="shared" ref="L35:L45" si="72">IFERROR(IF(C35="","",IF(OR(D35="",H35=""),"",SUM(D35-H35))),"")</f>
        <v>2400</v>
      </c>
      <c r="M35" s="108">
        <f t="shared" ref="M35:M45" si="73">IFERROR(IF(C35="","",IF(OR(E35="",I35=""),"",SUM(E35-I35))),"")</f>
        <v>1200</v>
      </c>
      <c r="N35" s="108">
        <f t="shared" ref="N35:N45" si="74">IFERROR(IF(C35="","",IF(OR(F35="",J35=""),"",SUM(F35-J35))),"")</f>
        <v>216</v>
      </c>
      <c r="O35" s="118">
        <f t="shared" ref="O35:O45" si="75">IFERROR(IF(C35="","",IF(OR(G35="",K35=""),"",SUM(G35-K35))),"")</f>
        <v>3816</v>
      </c>
      <c r="P35" s="108" t="str">
        <f t="shared" ref="P35:P45" si="76">IFERROR(IF(D35="","",IF(C35="","",BM27)),"")</f>
        <v/>
      </c>
      <c r="Q35" s="108" t="str">
        <f t="shared" ref="Q35:Q45" si="77">IFERROR(IF(H35="","",IF(C35="","",BN27)),"")</f>
        <v/>
      </c>
      <c r="R35" s="107" t="str">
        <f t="shared" ref="R35:R45" si="78">IFERROR(IF(C35="","",IF(AND(P35="",Q35=""),"",SUM(P35-Q35))),"")</f>
        <v/>
      </c>
      <c r="S35" s="179">
        <f t="shared" ref="S35:S45" si="79">IFERROR(IF(C35="","",IF($Z$2="","",IF($Z$2&lt;18001,265,IF($Z$2&lt;33501,440,IF($Z$2&lt;54001,658,875))))),"")</f>
        <v>875</v>
      </c>
      <c r="T35" s="179">
        <f t="shared" ref="T35:T45" si="80">IFERROR(IF(C35="","",IF($Z$2="","",IF($Z$2&lt;18001,265,IF($Z$2&lt;33501,440,IF($Z$2&lt;54001,658,875))))),"")</f>
        <v>875</v>
      </c>
      <c r="U35" s="107">
        <f t="shared" ref="U35:U45" si="81">IFERROR(IF(C35="","",IF(AND(S35="",T35=""),"",SUM(S35-T35))),"")</f>
        <v>0</v>
      </c>
      <c r="V35" s="108">
        <f t="shared" ref="V35:V45" si="82">IFERROR(IF($X$10="","",IF(C35="","",IF(O35="","",ROUND(O35*$X$10%,0)))),"")</f>
        <v>0</v>
      </c>
      <c r="W35" s="112"/>
      <c r="X35" s="107">
        <f t="shared" ref="X35:X45" si="83">IFERROR(IF(C35="","",IF(AND(V35="",W35=""),"",SUM(V35-W35))),"")</f>
        <v>0</v>
      </c>
      <c r="Y35" s="119">
        <f t="shared" ref="Y35:Y45" si="84">IFERROR(IF(C35="","",IF(AND(R35="",U35="",X35=""),"",SUM(R35,U35,X35))),"")</f>
        <v>0</v>
      </c>
      <c r="Z35" s="120">
        <f t="shared" ref="Z35:Z45" si="85">IFERROR(IF(C35="","",IF(AND(O35="",Y35=""),"",SUM(O35-Y35))),"")</f>
        <v>3816</v>
      </c>
      <c r="AW35" s="171"/>
      <c r="AX35" s="171"/>
      <c r="AY35" s="115">
        <f t="shared" si="0"/>
        <v>10</v>
      </c>
      <c r="AZ35" s="133">
        <f>DATE(R4,(Q4+1),P4)</f>
        <v>45070</v>
      </c>
      <c r="BA35" s="115">
        <f t="shared" si="1"/>
        <v>53</v>
      </c>
      <c r="BB35" s="135">
        <v>45627</v>
      </c>
      <c r="BC35" s="134">
        <f>IF(AND(BB35&gt;$P$8),"",DATE($R$4,($Q$4+20),1))</f>
        <v>45627</v>
      </c>
      <c r="BD35" s="136">
        <f t="shared" si="2"/>
        <v>45627</v>
      </c>
      <c r="BE35" s="136">
        <f t="shared" si="3"/>
        <v>45627</v>
      </c>
      <c r="BF35" s="136">
        <f t="shared" si="4"/>
        <v>45627</v>
      </c>
      <c r="BG35" s="115">
        <f t="shared" si="11"/>
        <v>63100</v>
      </c>
      <c r="BH35" s="115">
        <f t="shared" si="7"/>
        <v>33443</v>
      </c>
      <c r="BI35" s="115">
        <f t="shared" si="8"/>
        <v>6310</v>
      </c>
      <c r="BJ35" s="115">
        <f t="shared" si="12"/>
        <v>60700</v>
      </c>
      <c r="BK35" s="115">
        <f t="shared" si="9"/>
        <v>32171</v>
      </c>
      <c r="BL35" s="115">
        <f t="shared" si="10"/>
        <v>6070</v>
      </c>
      <c r="BM35" s="115" t="str">
        <f t="shared" si="5"/>
        <v/>
      </c>
      <c r="BN35" s="115" t="str">
        <f t="shared" si="6"/>
        <v/>
      </c>
    </row>
    <row r="36" spans="1:66" ht="17.45" customHeight="1">
      <c r="A36" s="115">
        <f t="shared" si="37"/>
        <v>14</v>
      </c>
      <c r="B36" s="108">
        <f t="shared" si="62"/>
        <v>14</v>
      </c>
      <c r="C36" s="110">
        <f t="shared" si="63"/>
        <v>45413</v>
      </c>
      <c r="D36" s="108">
        <f t="shared" si="64"/>
        <v>61300</v>
      </c>
      <c r="E36" s="108">
        <f t="shared" si="65"/>
        <v>30650</v>
      </c>
      <c r="F36" s="108">
        <f t="shared" si="66"/>
        <v>5517</v>
      </c>
      <c r="G36" s="107">
        <f t="shared" si="67"/>
        <v>97467</v>
      </c>
      <c r="H36" s="108">
        <f t="shared" si="68"/>
        <v>58900</v>
      </c>
      <c r="I36" s="108">
        <f t="shared" si="69"/>
        <v>29450</v>
      </c>
      <c r="J36" s="108">
        <f t="shared" si="70"/>
        <v>5301</v>
      </c>
      <c r="K36" s="107">
        <f t="shared" si="71"/>
        <v>93651</v>
      </c>
      <c r="L36" s="108">
        <f t="shared" si="72"/>
        <v>2400</v>
      </c>
      <c r="M36" s="108">
        <f t="shared" si="73"/>
        <v>1200</v>
      </c>
      <c r="N36" s="108">
        <f t="shared" si="74"/>
        <v>216</v>
      </c>
      <c r="O36" s="118">
        <f t="shared" si="75"/>
        <v>3816</v>
      </c>
      <c r="P36" s="108" t="str">
        <f t="shared" si="76"/>
        <v/>
      </c>
      <c r="Q36" s="108" t="str">
        <f t="shared" si="77"/>
        <v/>
      </c>
      <c r="R36" s="107" t="str">
        <f t="shared" si="78"/>
        <v/>
      </c>
      <c r="S36" s="179">
        <f t="shared" si="79"/>
        <v>875</v>
      </c>
      <c r="T36" s="179">
        <f t="shared" si="80"/>
        <v>875</v>
      </c>
      <c r="U36" s="107">
        <f t="shared" si="81"/>
        <v>0</v>
      </c>
      <c r="V36" s="108">
        <f t="shared" si="82"/>
        <v>0</v>
      </c>
      <c r="W36" s="112"/>
      <c r="X36" s="107">
        <f t="shared" si="83"/>
        <v>0</v>
      </c>
      <c r="Y36" s="119">
        <f t="shared" si="84"/>
        <v>0</v>
      </c>
      <c r="Z36" s="120">
        <f t="shared" si="85"/>
        <v>3816</v>
      </c>
      <c r="AW36" s="171"/>
      <c r="AX36" s="171"/>
      <c r="AY36" s="115">
        <f t="shared" si="0"/>
        <v>10</v>
      </c>
      <c r="AZ36" s="133">
        <f>DATE(2023,(Q4+1),1)</f>
        <v>45047</v>
      </c>
      <c r="BA36" s="115">
        <f t="shared" si="1"/>
        <v>55</v>
      </c>
      <c r="BB36" s="135">
        <v>45658</v>
      </c>
      <c r="BC36" s="134">
        <f>IF(AND(BB36&gt;$P$8),"",DATE($R$4,($Q$4+21),1))</f>
        <v>45658</v>
      </c>
      <c r="BD36" s="136">
        <f t="shared" si="2"/>
        <v>45658</v>
      </c>
      <c r="BE36" s="136">
        <f t="shared" si="3"/>
        <v>45658</v>
      </c>
      <c r="BF36" s="136">
        <f t="shared" si="4"/>
        <v>45658</v>
      </c>
      <c r="BG36" s="115">
        <f t="shared" si="11"/>
        <v>63100</v>
      </c>
      <c r="BH36" s="115">
        <f t="shared" si="7"/>
        <v>34705</v>
      </c>
      <c r="BI36" s="115">
        <f t="shared" si="8"/>
        <v>6310</v>
      </c>
      <c r="BJ36" s="115">
        <f t="shared" si="12"/>
        <v>60700</v>
      </c>
      <c r="BK36" s="115">
        <f t="shared" si="9"/>
        <v>33385</v>
      </c>
      <c r="BL36" s="115">
        <f t="shared" si="10"/>
        <v>6070</v>
      </c>
      <c r="BM36" s="115">
        <f t="shared" si="5"/>
        <v>1262</v>
      </c>
      <c r="BN36" s="115">
        <f t="shared" si="6"/>
        <v>1214</v>
      </c>
    </row>
    <row r="37" spans="1:66" ht="17.45" customHeight="1">
      <c r="A37" s="115">
        <f>IF(B36="","",IF(LEN(C37)&gt;=2,A36+1,0))</f>
        <v>15</v>
      </c>
      <c r="B37" s="108">
        <f>IFERROR(IF(A37="","",IF(A37=0,"",A37)),"")</f>
        <v>15</v>
      </c>
      <c r="C37" s="110">
        <f t="shared" si="63"/>
        <v>45444</v>
      </c>
      <c r="D37" s="108">
        <f t="shared" si="64"/>
        <v>61300</v>
      </c>
      <c r="E37" s="108">
        <f t="shared" si="65"/>
        <v>30650</v>
      </c>
      <c r="F37" s="108">
        <f t="shared" si="66"/>
        <v>5517</v>
      </c>
      <c r="G37" s="107">
        <f t="shared" si="67"/>
        <v>97467</v>
      </c>
      <c r="H37" s="108">
        <f t="shared" si="68"/>
        <v>58900</v>
      </c>
      <c r="I37" s="108">
        <f t="shared" si="69"/>
        <v>29450</v>
      </c>
      <c r="J37" s="108">
        <f t="shared" si="70"/>
        <v>5301</v>
      </c>
      <c r="K37" s="107">
        <f t="shared" si="71"/>
        <v>93651</v>
      </c>
      <c r="L37" s="108">
        <f t="shared" si="72"/>
        <v>2400</v>
      </c>
      <c r="M37" s="108">
        <f t="shared" si="73"/>
        <v>1200</v>
      </c>
      <c r="N37" s="108">
        <f t="shared" si="74"/>
        <v>216</v>
      </c>
      <c r="O37" s="118">
        <f t="shared" si="75"/>
        <v>3816</v>
      </c>
      <c r="P37" s="108" t="str">
        <f t="shared" si="76"/>
        <v/>
      </c>
      <c r="Q37" s="108" t="str">
        <f t="shared" si="77"/>
        <v/>
      </c>
      <c r="R37" s="107" t="str">
        <f t="shared" si="78"/>
        <v/>
      </c>
      <c r="S37" s="179">
        <f t="shared" si="79"/>
        <v>875</v>
      </c>
      <c r="T37" s="179">
        <f t="shared" si="80"/>
        <v>875</v>
      </c>
      <c r="U37" s="107">
        <f t="shared" si="81"/>
        <v>0</v>
      </c>
      <c r="V37" s="108">
        <f t="shared" si="82"/>
        <v>0</v>
      </c>
      <c r="W37" s="112"/>
      <c r="X37" s="107">
        <f t="shared" si="83"/>
        <v>0</v>
      </c>
      <c r="Y37" s="119">
        <f t="shared" si="84"/>
        <v>0</v>
      </c>
      <c r="Z37" s="120">
        <f t="shared" si="85"/>
        <v>3816</v>
      </c>
      <c r="AW37" s="171"/>
      <c r="AX37" s="171"/>
      <c r="AY37" s="115">
        <f t="shared" si="0"/>
        <v>10</v>
      </c>
      <c r="AZ37" s="133"/>
      <c r="BA37" s="115">
        <f t="shared" si="1"/>
        <v>55</v>
      </c>
      <c r="BB37" s="135">
        <v>45689</v>
      </c>
      <c r="BC37" s="134">
        <f>IF(AND(BB37&gt;$P$8),"",DATE($R$4,($Q$4+22),1))</f>
        <v>45689</v>
      </c>
      <c r="BD37" s="136">
        <f t="shared" si="2"/>
        <v>45689</v>
      </c>
      <c r="BE37" s="136">
        <f t="shared" si="3"/>
        <v>45689</v>
      </c>
      <c r="BF37" s="136">
        <f t="shared" si="4"/>
        <v>45689</v>
      </c>
      <c r="BG37" s="115">
        <f t="shared" si="11"/>
        <v>63100</v>
      </c>
      <c r="BH37" s="115">
        <f t="shared" si="7"/>
        <v>34705</v>
      </c>
      <c r="BI37" s="115">
        <f t="shared" si="8"/>
        <v>6310</v>
      </c>
      <c r="BJ37" s="115">
        <f t="shared" si="12"/>
        <v>60700</v>
      </c>
      <c r="BK37" s="115">
        <f t="shared" si="9"/>
        <v>33385</v>
      </c>
      <c r="BL37" s="115">
        <f t="shared" si="10"/>
        <v>6070</v>
      </c>
      <c r="BM37" s="115">
        <f t="shared" si="5"/>
        <v>1262</v>
      </c>
      <c r="BN37" s="115">
        <f t="shared" si="6"/>
        <v>1214</v>
      </c>
    </row>
    <row r="38" spans="1:66" ht="17.45" customHeight="1">
      <c r="A38" s="115">
        <f>IF(B37="","",IF(LEN(C38)&gt;=2,A37+1,0))</f>
        <v>16</v>
      </c>
      <c r="B38" s="108">
        <f t="shared" si="62"/>
        <v>16</v>
      </c>
      <c r="C38" s="110">
        <f t="shared" si="63"/>
        <v>45474</v>
      </c>
      <c r="D38" s="108">
        <f t="shared" si="64"/>
        <v>63100</v>
      </c>
      <c r="E38" s="108">
        <f t="shared" si="65"/>
        <v>33443</v>
      </c>
      <c r="F38" s="108">
        <f t="shared" si="66"/>
        <v>5679</v>
      </c>
      <c r="G38" s="107">
        <f t="shared" si="67"/>
        <v>102222</v>
      </c>
      <c r="H38" s="108">
        <f t="shared" si="68"/>
        <v>60700</v>
      </c>
      <c r="I38" s="108">
        <f t="shared" si="69"/>
        <v>32171</v>
      </c>
      <c r="J38" s="108">
        <f t="shared" si="70"/>
        <v>5463</v>
      </c>
      <c r="K38" s="107">
        <f t="shared" si="71"/>
        <v>98334</v>
      </c>
      <c r="L38" s="108">
        <f t="shared" si="72"/>
        <v>2400</v>
      </c>
      <c r="M38" s="108">
        <f t="shared" si="73"/>
        <v>1272</v>
      </c>
      <c r="N38" s="108">
        <f t="shared" si="74"/>
        <v>216</v>
      </c>
      <c r="O38" s="118">
        <f t="shared" si="75"/>
        <v>3888</v>
      </c>
      <c r="P38" s="108">
        <f t="shared" si="76"/>
        <v>1893</v>
      </c>
      <c r="Q38" s="108">
        <f t="shared" si="77"/>
        <v>1821</v>
      </c>
      <c r="R38" s="107">
        <f t="shared" si="78"/>
        <v>72</v>
      </c>
      <c r="S38" s="179">
        <f t="shared" si="79"/>
        <v>875</v>
      </c>
      <c r="T38" s="179">
        <f t="shared" si="80"/>
        <v>875</v>
      </c>
      <c r="U38" s="107">
        <f t="shared" si="81"/>
        <v>0</v>
      </c>
      <c r="V38" s="108">
        <f t="shared" si="82"/>
        <v>0</v>
      </c>
      <c r="W38" s="112"/>
      <c r="X38" s="107">
        <f t="shared" si="83"/>
        <v>0</v>
      </c>
      <c r="Y38" s="119">
        <f t="shared" si="84"/>
        <v>72</v>
      </c>
      <c r="Z38" s="120">
        <f t="shared" si="85"/>
        <v>3816</v>
      </c>
      <c r="AW38" s="171"/>
      <c r="AX38" s="171"/>
      <c r="AY38" s="115">
        <f t="shared" si="0"/>
        <v>10</v>
      </c>
      <c r="AZ38" s="133"/>
      <c r="BA38" s="115">
        <f t="shared" si="1"/>
        <v>55</v>
      </c>
      <c r="BB38" s="135">
        <v>45717</v>
      </c>
      <c r="BC38" s="134">
        <f>IF(AND(BB38&gt;$P$8),"",DATE($R$4,($Q$4+23),1))</f>
        <v>45717</v>
      </c>
      <c r="BD38" s="136">
        <f t="shared" si="2"/>
        <v>45717</v>
      </c>
      <c r="BE38" s="136">
        <f t="shared" si="3"/>
        <v>45717</v>
      </c>
      <c r="BF38" s="136">
        <f t="shared" si="4"/>
        <v>45717</v>
      </c>
      <c r="BG38" s="115">
        <f t="shared" si="11"/>
        <v>63100</v>
      </c>
      <c r="BH38" s="115">
        <f t="shared" si="7"/>
        <v>34705</v>
      </c>
      <c r="BI38" s="115">
        <f t="shared" si="8"/>
        <v>6310</v>
      </c>
      <c r="BJ38" s="115">
        <f t="shared" si="12"/>
        <v>60700</v>
      </c>
      <c r="BK38" s="115">
        <f t="shared" si="9"/>
        <v>33385</v>
      </c>
      <c r="BL38" s="115">
        <f t="shared" si="10"/>
        <v>6070</v>
      </c>
      <c r="BM38" s="115" t="str">
        <f t="shared" si="5"/>
        <v/>
      </c>
      <c r="BN38" s="115" t="str">
        <f t="shared" si="6"/>
        <v/>
      </c>
    </row>
    <row r="39" spans="1:66" ht="17.45" customHeight="1">
      <c r="A39" s="115">
        <f t="shared" si="37"/>
        <v>17</v>
      </c>
      <c r="B39" s="108">
        <f t="shared" si="62"/>
        <v>17</v>
      </c>
      <c r="C39" s="110">
        <f t="shared" si="63"/>
        <v>45505</v>
      </c>
      <c r="D39" s="108">
        <f t="shared" si="64"/>
        <v>63100</v>
      </c>
      <c r="E39" s="108">
        <f t="shared" si="65"/>
        <v>33443</v>
      </c>
      <c r="F39" s="108">
        <f t="shared" si="66"/>
        <v>5679</v>
      </c>
      <c r="G39" s="107">
        <f t="shared" si="67"/>
        <v>102222</v>
      </c>
      <c r="H39" s="108">
        <f t="shared" si="68"/>
        <v>60700</v>
      </c>
      <c r="I39" s="108">
        <f t="shared" si="69"/>
        <v>32171</v>
      </c>
      <c r="J39" s="108">
        <f t="shared" si="70"/>
        <v>5463</v>
      </c>
      <c r="K39" s="107">
        <f t="shared" si="71"/>
        <v>98334</v>
      </c>
      <c r="L39" s="108">
        <f t="shared" si="72"/>
        <v>2400</v>
      </c>
      <c r="M39" s="108">
        <f t="shared" si="73"/>
        <v>1272</v>
      </c>
      <c r="N39" s="108">
        <f t="shared" si="74"/>
        <v>216</v>
      </c>
      <c r="O39" s="118">
        <f t="shared" si="75"/>
        <v>3888</v>
      </c>
      <c r="P39" s="108">
        <f t="shared" si="76"/>
        <v>1893</v>
      </c>
      <c r="Q39" s="108">
        <f t="shared" si="77"/>
        <v>1821</v>
      </c>
      <c r="R39" s="107">
        <f t="shared" si="78"/>
        <v>72</v>
      </c>
      <c r="S39" s="179">
        <f t="shared" si="79"/>
        <v>875</v>
      </c>
      <c r="T39" s="179">
        <f t="shared" si="80"/>
        <v>875</v>
      </c>
      <c r="U39" s="107">
        <f t="shared" si="81"/>
        <v>0</v>
      </c>
      <c r="V39" s="108">
        <f t="shared" si="82"/>
        <v>0</v>
      </c>
      <c r="W39" s="112"/>
      <c r="X39" s="107">
        <f t="shared" si="83"/>
        <v>0</v>
      </c>
      <c r="Y39" s="119">
        <f t="shared" si="84"/>
        <v>72</v>
      </c>
      <c r="Z39" s="120">
        <f t="shared" si="85"/>
        <v>3816</v>
      </c>
      <c r="AW39" s="171"/>
      <c r="AX39" s="171"/>
      <c r="AY39" s="115">
        <f t="shared" si="0"/>
        <v>10</v>
      </c>
      <c r="AZ39" s="133"/>
      <c r="BA39" s="115">
        <f t="shared" si="1"/>
        <v>55</v>
      </c>
      <c r="BB39" s="135">
        <v>45748</v>
      </c>
      <c r="BC39" s="134">
        <f>IF(AND(BB39&gt;$P$8),"",DATE($R$4,($Q$4+24),1))</f>
        <v>45748</v>
      </c>
      <c r="BD39" s="136">
        <f t="shared" si="2"/>
        <v>45748</v>
      </c>
      <c r="BE39" s="136">
        <f t="shared" si="3"/>
        <v>45748</v>
      </c>
      <c r="BF39" s="136">
        <f t="shared" si="4"/>
        <v>45748</v>
      </c>
      <c r="BG39" s="115">
        <f t="shared" si="11"/>
        <v>63100</v>
      </c>
      <c r="BH39" s="115">
        <f t="shared" si="7"/>
        <v>34705</v>
      </c>
      <c r="BI39" s="115">
        <f t="shared" si="8"/>
        <v>6310</v>
      </c>
      <c r="BJ39" s="115">
        <f t="shared" si="12"/>
        <v>60700</v>
      </c>
      <c r="BK39" s="115">
        <f t="shared" si="9"/>
        <v>33385</v>
      </c>
      <c r="BL39" s="115">
        <f t="shared" si="10"/>
        <v>6070</v>
      </c>
      <c r="BM39" s="115" t="str">
        <f t="shared" si="5"/>
        <v/>
      </c>
      <c r="BN39" s="115" t="str">
        <f t="shared" si="6"/>
        <v/>
      </c>
    </row>
    <row r="40" spans="1:66" ht="17.45" customHeight="1">
      <c r="A40" s="115">
        <f t="shared" si="37"/>
        <v>18</v>
      </c>
      <c r="B40" s="108">
        <f t="shared" si="62"/>
        <v>18</v>
      </c>
      <c r="C40" s="110">
        <f t="shared" si="63"/>
        <v>45536</v>
      </c>
      <c r="D40" s="108">
        <f t="shared" si="64"/>
        <v>63100</v>
      </c>
      <c r="E40" s="108">
        <f t="shared" si="65"/>
        <v>33443</v>
      </c>
      <c r="F40" s="108">
        <f t="shared" si="66"/>
        <v>5679</v>
      </c>
      <c r="G40" s="107">
        <f t="shared" si="67"/>
        <v>102222</v>
      </c>
      <c r="H40" s="108">
        <f t="shared" si="68"/>
        <v>60700</v>
      </c>
      <c r="I40" s="108">
        <f t="shared" si="69"/>
        <v>32171</v>
      </c>
      <c r="J40" s="108">
        <f t="shared" si="70"/>
        <v>5463</v>
      </c>
      <c r="K40" s="107">
        <f t="shared" si="71"/>
        <v>98334</v>
      </c>
      <c r="L40" s="108">
        <f t="shared" si="72"/>
        <v>2400</v>
      </c>
      <c r="M40" s="108">
        <f t="shared" si="73"/>
        <v>1272</v>
      </c>
      <c r="N40" s="108">
        <f t="shared" si="74"/>
        <v>216</v>
      </c>
      <c r="O40" s="118">
        <f t="shared" si="75"/>
        <v>3888</v>
      </c>
      <c r="P40" s="108">
        <f t="shared" si="76"/>
        <v>1893</v>
      </c>
      <c r="Q40" s="108">
        <f t="shared" si="77"/>
        <v>1821</v>
      </c>
      <c r="R40" s="107">
        <f t="shared" si="78"/>
        <v>72</v>
      </c>
      <c r="S40" s="179">
        <f t="shared" si="79"/>
        <v>875</v>
      </c>
      <c r="T40" s="179">
        <f t="shared" si="80"/>
        <v>875</v>
      </c>
      <c r="U40" s="107">
        <f t="shared" si="81"/>
        <v>0</v>
      </c>
      <c r="V40" s="108">
        <f t="shared" si="82"/>
        <v>0</v>
      </c>
      <c r="W40" s="112"/>
      <c r="X40" s="107">
        <f t="shared" si="83"/>
        <v>0</v>
      </c>
      <c r="Y40" s="119">
        <f t="shared" si="84"/>
        <v>72</v>
      </c>
      <c r="Z40" s="120">
        <f t="shared" si="85"/>
        <v>3816</v>
      </c>
      <c r="AW40" s="171"/>
      <c r="AX40" s="171"/>
      <c r="AY40" s="115">
        <f t="shared" si="0"/>
        <v>10</v>
      </c>
      <c r="AZ40" s="133"/>
      <c r="BA40" s="115">
        <f t="shared" si="1"/>
        <v>55</v>
      </c>
      <c r="BB40" s="135">
        <v>45778</v>
      </c>
      <c r="BC40" s="134">
        <f>IF(AND(BB40&gt;$P$8),"",DATE($R$4,($Q$4+25),1))</f>
        <v>45778</v>
      </c>
      <c r="BD40" s="136">
        <f t="shared" si="2"/>
        <v>45778</v>
      </c>
      <c r="BE40" s="136">
        <f t="shared" si="3"/>
        <v>45778</v>
      </c>
      <c r="BF40" s="136">
        <f t="shared" si="4"/>
        <v>45778</v>
      </c>
      <c r="BG40" s="115">
        <f t="shared" si="11"/>
        <v>63100</v>
      </c>
      <c r="BH40" s="115">
        <f t="shared" si="7"/>
        <v>34705</v>
      </c>
      <c r="BI40" s="115">
        <f t="shared" si="8"/>
        <v>6310</v>
      </c>
      <c r="BJ40" s="115">
        <f t="shared" si="12"/>
        <v>60700</v>
      </c>
      <c r="BK40" s="115">
        <f t="shared" si="9"/>
        <v>33385</v>
      </c>
      <c r="BL40" s="115">
        <f t="shared" si="10"/>
        <v>6070</v>
      </c>
      <c r="BM40" s="115" t="str">
        <f t="shared" si="5"/>
        <v/>
      </c>
      <c r="BN40" s="115" t="str">
        <f t="shared" si="6"/>
        <v/>
      </c>
    </row>
    <row r="41" spans="1:66" ht="17.45" customHeight="1">
      <c r="A41" s="115">
        <f t="shared" si="37"/>
        <v>19</v>
      </c>
      <c r="B41" s="108">
        <f t="shared" si="62"/>
        <v>19</v>
      </c>
      <c r="C41" s="110">
        <f t="shared" si="63"/>
        <v>45566</v>
      </c>
      <c r="D41" s="108">
        <f t="shared" si="64"/>
        <v>63100</v>
      </c>
      <c r="E41" s="108">
        <f t="shared" si="65"/>
        <v>33443</v>
      </c>
      <c r="F41" s="108">
        <f t="shared" si="66"/>
        <v>5679</v>
      </c>
      <c r="G41" s="107">
        <f t="shared" si="67"/>
        <v>102222</v>
      </c>
      <c r="H41" s="108">
        <f t="shared" si="68"/>
        <v>60700</v>
      </c>
      <c r="I41" s="108">
        <f t="shared" si="69"/>
        <v>32171</v>
      </c>
      <c r="J41" s="108">
        <f t="shared" si="70"/>
        <v>5463</v>
      </c>
      <c r="K41" s="107">
        <f t="shared" si="71"/>
        <v>98334</v>
      </c>
      <c r="L41" s="108">
        <f t="shared" si="72"/>
        <v>2400</v>
      </c>
      <c r="M41" s="108">
        <f t="shared" si="73"/>
        <v>1272</v>
      </c>
      <c r="N41" s="108">
        <f t="shared" si="74"/>
        <v>216</v>
      </c>
      <c r="O41" s="118">
        <f t="shared" si="75"/>
        <v>3888</v>
      </c>
      <c r="P41" s="108">
        <f t="shared" si="76"/>
        <v>1893</v>
      </c>
      <c r="Q41" s="108">
        <f t="shared" si="77"/>
        <v>1821</v>
      </c>
      <c r="R41" s="107">
        <f t="shared" si="78"/>
        <v>72</v>
      </c>
      <c r="S41" s="179">
        <f t="shared" si="79"/>
        <v>875</v>
      </c>
      <c r="T41" s="179">
        <f t="shared" si="80"/>
        <v>875</v>
      </c>
      <c r="U41" s="107">
        <f t="shared" si="81"/>
        <v>0</v>
      </c>
      <c r="V41" s="108">
        <f t="shared" si="82"/>
        <v>0</v>
      </c>
      <c r="W41" s="112"/>
      <c r="X41" s="107">
        <f t="shared" si="83"/>
        <v>0</v>
      </c>
      <c r="Y41" s="119">
        <f t="shared" si="84"/>
        <v>72</v>
      </c>
      <c r="Z41" s="120">
        <f t="shared" si="85"/>
        <v>3816</v>
      </c>
      <c r="AW41" s="171"/>
      <c r="AX41" s="171"/>
      <c r="AY41" s="115">
        <f t="shared" si="0"/>
        <v>10</v>
      </c>
      <c r="AZ41" s="133"/>
      <c r="BA41" s="115">
        <f t="shared" si="1"/>
        <v>55</v>
      </c>
      <c r="BB41" s="135">
        <v>45809</v>
      </c>
      <c r="BC41" s="134">
        <f>IF(AND(BB41&gt;$P$8),"",DATE($R$4,($Q$4+26),1))</f>
        <v>45809</v>
      </c>
      <c r="BD41" s="136">
        <f t="shared" si="2"/>
        <v>45809</v>
      </c>
      <c r="BE41" s="136">
        <f t="shared" si="3"/>
        <v>45809</v>
      </c>
      <c r="BF41" s="136">
        <f t="shared" si="4"/>
        <v>45809</v>
      </c>
      <c r="BG41" s="115">
        <f t="shared" si="11"/>
        <v>63100</v>
      </c>
      <c r="BH41" s="115">
        <f t="shared" si="7"/>
        <v>34705</v>
      </c>
      <c r="BI41" s="115">
        <f t="shared" si="8"/>
        <v>6310</v>
      </c>
      <c r="BJ41" s="115">
        <f t="shared" si="12"/>
        <v>60700</v>
      </c>
      <c r="BK41" s="115">
        <f t="shared" si="9"/>
        <v>33385</v>
      </c>
      <c r="BL41" s="115">
        <f t="shared" si="10"/>
        <v>6070</v>
      </c>
      <c r="BM41" s="115" t="str">
        <f t="shared" si="5"/>
        <v/>
      </c>
      <c r="BN41" s="115" t="str">
        <f t="shared" si="6"/>
        <v/>
      </c>
    </row>
    <row r="42" spans="1:66" ht="17.45" customHeight="1">
      <c r="A42" s="115">
        <f t="shared" si="37"/>
        <v>20</v>
      </c>
      <c r="B42" s="108">
        <f t="shared" si="62"/>
        <v>20</v>
      </c>
      <c r="C42" s="110">
        <f t="shared" si="63"/>
        <v>45597</v>
      </c>
      <c r="D42" s="108">
        <f t="shared" si="64"/>
        <v>63100</v>
      </c>
      <c r="E42" s="108">
        <f t="shared" si="65"/>
        <v>33443</v>
      </c>
      <c r="F42" s="108">
        <f t="shared" si="66"/>
        <v>6310</v>
      </c>
      <c r="G42" s="107">
        <f t="shared" si="67"/>
        <v>102853</v>
      </c>
      <c r="H42" s="108">
        <f t="shared" si="68"/>
        <v>60700</v>
      </c>
      <c r="I42" s="108">
        <f t="shared" si="69"/>
        <v>32171</v>
      </c>
      <c r="J42" s="108">
        <f t="shared" si="70"/>
        <v>6070</v>
      </c>
      <c r="K42" s="107">
        <f t="shared" si="71"/>
        <v>98941</v>
      </c>
      <c r="L42" s="108">
        <f t="shared" si="72"/>
        <v>2400</v>
      </c>
      <c r="M42" s="108">
        <f t="shared" si="73"/>
        <v>1272</v>
      </c>
      <c r="N42" s="108">
        <f t="shared" si="74"/>
        <v>240</v>
      </c>
      <c r="O42" s="118">
        <f t="shared" si="75"/>
        <v>3912</v>
      </c>
      <c r="P42" s="108" t="str">
        <f t="shared" si="76"/>
        <v/>
      </c>
      <c r="Q42" s="108" t="str">
        <f t="shared" si="77"/>
        <v/>
      </c>
      <c r="R42" s="107" t="str">
        <f t="shared" si="78"/>
        <v/>
      </c>
      <c r="S42" s="179">
        <f t="shared" si="79"/>
        <v>875</v>
      </c>
      <c r="T42" s="179">
        <f t="shared" si="80"/>
        <v>875</v>
      </c>
      <c r="U42" s="107">
        <f t="shared" si="81"/>
        <v>0</v>
      </c>
      <c r="V42" s="108">
        <f t="shared" si="82"/>
        <v>0</v>
      </c>
      <c r="W42" s="112"/>
      <c r="X42" s="107">
        <f t="shared" si="83"/>
        <v>0</v>
      </c>
      <c r="Y42" s="119">
        <f t="shared" si="84"/>
        <v>0</v>
      </c>
      <c r="Z42" s="120">
        <f t="shared" si="85"/>
        <v>3912</v>
      </c>
      <c r="AW42" s="171"/>
      <c r="AX42" s="171"/>
      <c r="AY42" s="115">
        <f t="shared" si="0"/>
        <v>10</v>
      </c>
      <c r="AZ42" s="133"/>
      <c r="BA42" s="115">
        <f t="shared" si="1"/>
        <v>58</v>
      </c>
      <c r="BB42" s="135">
        <v>45839</v>
      </c>
      <c r="BC42" s="134">
        <f>IF(AND(BB42&gt;$P$8),"",DATE($R$4,($Q$4+27),1))</f>
        <v>45839</v>
      </c>
      <c r="BD42" s="136">
        <f t="shared" si="2"/>
        <v>45839</v>
      </c>
      <c r="BE42" s="136">
        <f t="shared" si="3"/>
        <v>45839</v>
      </c>
      <c r="BF42" s="136">
        <f t="shared" si="4"/>
        <v>45839</v>
      </c>
      <c r="BG42" s="115">
        <f t="shared" si="11"/>
        <v>65000</v>
      </c>
      <c r="BH42" s="115">
        <f t="shared" si="7"/>
        <v>37700</v>
      </c>
      <c r="BI42" s="115">
        <f t="shared" si="8"/>
        <v>6500</v>
      </c>
      <c r="BJ42" s="115">
        <f t="shared" si="12"/>
        <v>62500</v>
      </c>
      <c r="BK42" s="115">
        <f t="shared" si="9"/>
        <v>36250</v>
      </c>
      <c r="BL42" s="115">
        <f t="shared" si="10"/>
        <v>6250</v>
      </c>
      <c r="BM42" s="115">
        <f t="shared" si="5"/>
        <v>1950</v>
      </c>
      <c r="BN42" s="115">
        <f t="shared" si="6"/>
        <v>1875</v>
      </c>
    </row>
    <row r="43" spans="1:66" ht="17.45" customHeight="1">
      <c r="A43" s="115">
        <f t="shared" si="37"/>
        <v>21</v>
      </c>
      <c r="B43" s="108">
        <f t="shared" si="62"/>
        <v>21</v>
      </c>
      <c r="C43" s="110">
        <f t="shared" si="63"/>
        <v>45627</v>
      </c>
      <c r="D43" s="108">
        <f t="shared" si="64"/>
        <v>63100</v>
      </c>
      <c r="E43" s="108">
        <f t="shared" si="65"/>
        <v>33443</v>
      </c>
      <c r="F43" s="108">
        <f t="shared" si="66"/>
        <v>6310</v>
      </c>
      <c r="G43" s="107">
        <f t="shared" si="67"/>
        <v>102853</v>
      </c>
      <c r="H43" s="108">
        <f t="shared" si="68"/>
        <v>60700</v>
      </c>
      <c r="I43" s="108">
        <f t="shared" si="69"/>
        <v>32171</v>
      </c>
      <c r="J43" s="108">
        <f t="shared" si="70"/>
        <v>6070</v>
      </c>
      <c r="K43" s="107">
        <f t="shared" si="71"/>
        <v>98941</v>
      </c>
      <c r="L43" s="108">
        <f t="shared" si="72"/>
        <v>2400</v>
      </c>
      <c r="M43" s="108">
        <f t="shared" si="73"/>
        <v>1272</v>
      </c>
      <c r="N43" s="108">
        <f t="shared" si="74"/>
        <v>240</v>
      </c>
      <c r="O43" s="118">
        <f t="shared" si="75"/>
        <v>3912</v>
      </c>
      <c r="P43" s="108" t="str">
        <f t="shared" si="76"/>
        <v/>
      </c>
      <c r="Q43" s="108" t="str">
        <f t="shared" si="77"/>
        <v/>
      </c>
      <c r="R43" s="107" t="str">
        <f t="shared" si="78"/>
        <v/>
      </c>
      <c r="S43" s="179">
        <f t="shared" si="79"/>
        <v>875</v>
      </c>
      <c r="T43" s="179">
        <f t="shared" si="80"/>
        <v>875</v>
      </c>
      <c r="U43" s="107">
        <f t="shared" si="81"/>
        <v>0</v>
      </c>
      <c r="V43" s="108">
        <f t="shared" si="82"/>
        <v>0</v>
      </c>
      <c r="W43" s="112"/>
      <c r="X43" s="107">
        <f t="shared" si="83"/>
        <v>0</v>
      </c>
      <c r="Y43" s="119">
        <f t="shared" si="84"/>
        <v>0</v>
      </c>
      <c r="Z43" s="120">
        <f t="shared" si="85"/>
        <v>3912</v>
      </c>
      <c r="AW43" s="171"/>
      <c r="AX43" s="171"/>
      <c r="AY43" s="115">
        <f t="shared" si="0"/>
        <v>10</v>
      </c>
      <c r="AZ43" s="133"/>
      <c r="BA43" s="115">
        <f t="shared" si="1"/>
        <v>58</v>
      </c>
      <c r="BB43" s="135">
        <v>45870</v>
      </c>
      <c r="BC43" s="134">
        <f>IF(AND(BB43&gt;$P$8),"",DATE($R$4,($Q$4+28),1))</f>
        <v>45870</v>
      </c>
      <c r="BD43" s="136">
        <f t="shared" si="2"/>
        <v>45870</v>
      </c>
      <c r="BE43" s="136">
        <f t="shared" si="3"/>
        <v>45870</v>
      </c>
      <c r="BF43" s="136">
        <f t="shared" si="4"/>
        <v>45870</v>
      </c>
      <c r="BG43" s="115">
        <f t="shared" si="11"/>
        <v>65000</v>
      </c>
      <c r="BH43" s="115">
        <f t="shared" si="7"/>
        <v>37700</v>
      </c>
      <c r="BI43" s="115">
        <f t="shared" si="8"/>
        <v>6500</v>
      </c>
      <c r="BJ43" s="115">
        <f t="shared" si="12"/>
        <v>62500</v>
      </c>
      <c r="BK43" s="115">
        <f t="shared" si="9"/>
        <v>36250</v>
      </c>
      <c r="BL43" s="115">
        <f t="shared" si="10"/>
        <v>6250</v>
      </c>
      <c r="BM43" s="115">
        <f t="shared" si="5"/>
        <v>1950</v>
      </c>
      <c r="BN43" s="115">
        <f t="shared" si="6"/>
        <v>1875</v>
      </c>
    </row>
    <row r="44" spans="1:66" ht="17.45" customHeight="1">
      <c r="A44" s="115">
        <f t="shared" si="37"/>
        <v>22</v>
      </c>
      <c r="B44" s="108">
        <f t="shared" si="62"/>
        <v>22</v>
      </c>
      <c r="C44" s="110">
        <f t="shared" si="63"/>
        <v>45658</v>
      </c>
      <c r="D44" s="108">
        <f t="shared" si="64"/>
        <v>63100</v>
      </c>
      <c r="E44" s="108">
        <f t="shared" si="65"/>
        <v>34705</v>
      </c>
      <c r="F44" s="108">
        <f t="shared" si="66"/>
        <v>6310</v>
      </c>
      <c r="G44" s="107">
        <f t="shared" si="67"/>
        <v>104115</v>
      </c>
      <c r="H44" s="108">
        <f t="shared" si="68"/>
        <v>60700</v>
      </c>
      <c r="I44" s="108">
        <f t="shared" si="69"/>
        <v>33385</v>
      </c>
      <c r="J44" s="108">
        <f t="shared" si="70"/>
        <v>6070</v>
      </c>
      <c r="K44" s="107">
        <f t="shared" si="71"/>
        <v>100155</v>
      </c>
      <c r="L44" s="108">
        <f t="shared" si="72"/>
        <v>2400</v>
      </c>
      <c r="M44" s="108">
        <f t="shared" si="73"/>
        <v>1320</v>
      </c>
      <c r="N44" s="108">
        <f t="shared" si="74"/>
        <v>240</v>
      </c>
      <c r="O44" s="118">
        <f t="shared" si="75"/>
        <v>3960</v>
      </c>
      <c r="P44" s="108">
        <f t="shared" si="76"/>
        <v>1262</v>
      </c>
      <c r="Q44" s="108">
        <f t="shared" si="77"/>
        <v>1214</v>
      </c>
      <c r="R44" s="107">
        <f t="shared" si="78"/>
        <v>48</v>
      </c>
      <c r="S44" s="179">
        <f t="shared" si="79"/>
        <v>875</v>
      </c>
      <c r="T44" s="179">
        <f t="shared" si="80"/>
        <v>875</v>
      </c>
      <c r="U44" s="107">
        <f t="shared" si="81"/>
        <v>0</v>
      </c>
      <c r="V44" s="108">
        <f t="shared" si="82"/>
        <v>0</v>
      </c>
      <c r="W44" s="112"/>
      <c r="X44" s="107">
        <f t="shared" si="83"/>
        <v>0</v>
      </c>
      <c r="Y44" s="119">
        <f t="shared" si="84"/>
        <v>48</v>
      </c>
      <c r="Z44" s="120">
        <f t="shared" si="85"/>
        <v>3912</v>
      </c>
      <c r="AW44" s="171"/>
      <c r="AX44" s="171"/>
      <c r="AY44" s="115">
        <f t="shared" si="0"/>
        <v>10</v>
      </c>
      <c r="AZ44" s="133"/>
      <c r="BA44" s="115">
        <f t="shared" si="1"/>
        <v>58</v>
      </c>
      <c r="BB44" s="135">
        <v>45901</v>
      </c>
      <c r="BC44" s="134">
        <f>IF(AND(BB44&gt;$P$8),"",DATE($R$4,($Q$4+29),1))</f>
        <v>45901</v>
      </c>
      <c r="BD44" s="136">
        <f t="shared" si="2"/>
        <v>45901</v>
      </c>
      <c r="BE44" s="136">
        <f t="shared" si="3"/>
        <v>45901</v>
      </c>
      <c r="BF44" s="136">
        <f t="shared" si="4"/>
        <v>45901</v>
      </c>
      <c r="BG44" s="115">
        <f t="shared" si="11"/>
        <v>65000</v>
      </c>
      <c r="BH44" s="115">
        <f t="shared" si="7"/>
        <v>37700</v>
      </c>
      <c r="BI44" s="115">
        <f t="shared" si="8"/>
        <v>6500</v>
      </c>
      <c r="BJ44" s="115">
        <f t="shared" si="12"/>
        <v>62500</v>
      </c>
      <c r="BK44" s="115">
        <f t="shared" si="9"/>
        <v>36250</v>
      </c>
      <c r="BL44" s="115">
        <f t="shared" si="10"/>
        <v>6250</v>
      </c>
      <c r="BM44" s="115">
        <f t="shared" si="5"/>
        <v>1950</v>
      </c>
      <c r="BN44" s="115">
        <f t="shared" si="6"/>
        <v>1875</v>
      </c>
    </row>
    <row r="45" spans="1:66" ht="17.45" customHeight="1">
      <c r="A45" s="115">
        <f t="shared" si="37"/>
        <v>23</v>
      </c>
      <c r="B45" s="108">
        <f t="shared" si="62"/>
        <v>23</v>
      </c>
      <c r="C45" s="110">
        <f>IFERROR(IF(OR($P$6="",$P$8="",$P$4="",$Q$4="",$R$4=""),"",IF(AND($P$6&gt;$P$8),"",BF37)),"")</f>
        <v>45689</v>
      </c>
      <c r="D45" s="108">
        <f t="shared" si="64"/>
        <v>63100</v>
      </c>
      <c r="E45" s="108">
        <f t="shared" si="65"/>
        <v>34705</v>
      </c>
      <c r="F45" s="108">
        <f t="shared" si="66"/>
        <v>6310</v>
      </c>
      <c r="G45" s="107">
        <f t="shared" si="67"/>
        <v>104115</v>
      </c>
      <c r="H45" s="108">
        <f t="shared" si="68"/>
        <v>60700</v>
      </c>
      <c r="I45" s="108">
        <f t="shared" si="69"/>
        <v>33385</v>
      </c>
      <c r="J45" s="108">
        <f t="shared" si="70"/>
        <v>6070</v>
      </c>
      <c r="K45" s="107">
        <f t="shared" si="71"/>
        <v>100155</v>
      </c>
      <c r="L45" s="108">
        <f t="shared" si="72"/>
        <v>2400</v>
      </c>
      <c r="M45" s="108">
        <f t="shared" si="73"/>
        <v>1320</v>
      </c>
      <c r="N45" s="108">
        <f t="shared" si="74"/>
        <v>240</v>
      </c>
      <c r="O45" s="118">
        <f t="shared" si="75"/>
        <v>3960</v>
      </c>
      <c r="P45" s="108">
        <f t="shared" si="76"/>
        <v>1262</v>
      </c>
      <c r="Q45" s="108">
        <f t="shared" si="77"/>
        <v>1214</v>
      </c>
      <c r="R45" s="107">
        <f t="shared" si="78"/>
        <v>48</v>
      </c>
      <c r="S45" s="179">
        <f t="shared" si="79"/>
        <v>875</v>
      </c>
      <c r="T45" s="179">
        <f t="shared" si="80"/>
        <v>875</v>
      </c>
      <c r="U45" s="107">
        <f t="shared" si="81"/>
        <v>0</v>
      </c>
      <c r="V45" s="108">
        <f t="shared" si="82"/>
        <v>0</v>
      </c>
      <c r="W45" s="112"/>
      <c r="X45" s="107">
        <f t="shared" si="83"/>
        <v>0</v>
      </c>
      <c r="Y45" s="119">
        <f t="shared" si="84"/>
        <v>48</v>
      </c>
      <c r="Z45" s="120">
        <f t="shared" si="85"/>
        <v>3912</v>
      </c>
      <c r="AW45" s="171"/>
      <c r="AX45" s="171"/>
      <c r="AY45" s="115">
        <f t="shared" si="0"/>
        <v>10</v>
      </c>
      <c r="AZ45" s="133">
        <f>DATE(YEAR(P6),MONTH(P6)+1,DAY(P6))</f>
        <v>45047</v>
      </c>
      <c r="BA45" s="115">
        <f t="shared" si="1"/>
        <v>58</v>
      </c>
      <c r="BB45" s="135">
        <v>45931</v>
      </c>
      <c r="BC45" s="134">
        <f>IF(AND(BB45&gt;$P$8),"",DATE($R$4,($Q$4+30),1))</f>
        <v>45931</v>
      </c>
      <c r="BD45" s="136">
        <f t="shared" si="2"/>
        <v>45931</v>
      </c>
      <c r="BE45" s="136">
        <f t="shared" si="3"/>
        <v>45931</v>
      </c>
      <c r="BF45" s="136">
        <f t="shared" si="4"/>
        <v>45931</v>
      </c>
      <c r="BG45" s="115">
        <f t="shared" si="11"/>
        <v>65000</v>
      </c>
      <c r="BH45" s="115">
        <f t="shared" si="7"/>
        <v>37700</v>
      </c>
      <c r="BI45" s="115">
        <f t="shared" si="8"/>
        <v>6500</v>
      </c>
      <c r="BJ45" s="115">
        <f t="shared" si="12"/>
        <v>62500</v>
      </c>
      <c r="BK45" s="115">
        <f t="shared" si="9"/>
        <v>36250</v>
      </c>
      <c r="BL45" s="115">
        <f t="shared" si="10"/>
        <v>6250</v>
      </c>
      <c r="BM45" s="115" t="str">
        <f t="shared" si="5"/>
        <v/>
      </c>
      <c r="BN45" s="115" t="str">
        <f t="shared" si="6"/>
        <v/>
      </c>
    </row>
    <row r="46" spans="1:66" ht="17.45" customHeight="1">
      <c r="A46" s="115">
        <f t="shared" ref="A46:A55" si="86">IF(B45="","",IF(LEN(C46)&gt;=2,A45+1,0))</f>
        <v>24</v>
      </c>
      <c r="B46" s="108">
        <f t="shared" ref="B46:B55" si="87">IFERROR(IF(A46="","",IF(A46=0,"",A46)),"")</f>
        <v>24</v>
      </c>
      <c r="C46" s="110">
        <f t="shared" ref="C46:C55" si="88">IFERROR(IF(OR($P$6="",$P$8="",$P$4="",$Q$4="",$R$4=""),"",IF(AND($P$6&gt;$P$8),"",BF38)),"")</f>
        <v>45717</v>
      </c>
      <c r="D46" s="108">
        <f t="shared" ref="D46:D55" si="89">IFERROR(IF(C46="","",BG38),"")</f>
        <v>63100</v>
      </c>
      <c r="E46" s="108">
        <f t="shared" ref="E46:E55" si="90">IFERROR(IF(D46="","",IF(C46="","",BH38)),"")</f>
        <v>34705</v>
      </c>
      <c r="F46" s="108">
        <f t="shared" ref="F46:F55" si="91">IFERROR(IF(D46="","",IF(C46="","",BI38)),"")</f>
        <v>6310</v>
      </c>
      <c r="G46" s="107">
        <f t="shared" ref="G46:G55" si="92">IFERROR(IF(C46="","",IF(D46="","",SUM(D46:F46))),"")</f>
        <v>104115</v>
      </c>
      <c r="H46" s="108">
        <f t="shared" ref="H46:H55" si="93">IFERROR(IF(C46="","",BJ38),"")</f>
        <v>60700</v>
      </c>
      <c r="I46" s="108">
        <f t="shared" ref="I46:I55" si="94">IFERROR(IF(H46="","",IF(C46="","",BK38)),"")</f>
        <v>33385</v>
      </c>
      <c r="J46" s="108">
        <f t="shared" ref="J46:J55" si="95">IFERROR(IF(H46="","",IF(C46="","",BL38)),"")</f>
        <v>6070</v>
      </c>
      <c r="K46" s="107">
        <f t="shared" ref="K46:K55" si="96">IFERROR(IF(C46="","",IF(H46="","",SUM(H46:J46))),"")</f>
        <v>100155</v>
      </c>
      <c r="L46" s="108">
        <f t="shared" ref="L46:L55" si="97">IFERROR(IF(C46="","",IF(OR(D46="",H46=""),"",SUM(D46-H46))),"")</f>
        <v>2400</v>
      </c>
      <c r="M46" s="108">
        <f t="shared" ref="M46:M55" si="98">IFERROR(IF(C46="","",IF(OR(E46="",I46=""),"",SUM(E46-I46))),"")</f>
        <v>1320</v>
      </c>
      <c r="N46" s="108">
        <f t="shared" ref="N46:N55" si="99">IFERROR(IF(C46="","",IF(OR(F46="",J46=""),"",SUM(F46-J46))),"")</f>
        <v>240</v>
      </c>
      <c r="O46" s="118">
        <f t="shared" ref="O46:O55" si="100">IFERROR(IF(C46="","",IF(OR(G46="",K46=""),"",SUM(G46-K46))),"")</f>
        <v>3960</v>
      </c>
      <c r="P46" s="108" t="str">
        <f t="shared" ref="P46:P55" si="101">IFERROR(IF(D46="","",IF(C46="","",BM38)),"")</f>
        <v/>
      </c>
      <c r="Q46" s="108" t="str">
        <f t="shared" ref="Q46:Q55" si="102">IFERROR(IF(H46="","",IF(C46="","",BN38)),"")</f>
        <v/>
      </c>
      <c r="R46" s="107" t="str">
        <f t="shared" ref="R46:R55" si="103">IFERROR(IF(C46="","",IF(AND(P46="",Q46=""),"",SUM(P46-Q46))),"")</f>
        <v/>
      </c>
      <c r="S46" s="190">
        <f t="shared" ref="S46:S55" si="104">IFERROR(IF(C46="","",IF($Z$2="","",IF($Z$2&lt;18001,265,IF($Z$2&lt;33501,440,IF($Z$2&lt;54001,658,875))))),"")</f>
        <v>875</v>
      </c>
      <c r="T46" s="190">
        <f t="shared" ref="T46:T55" si="105">IFERROR(IF(C46="","",IF($Z$2="","",IF($Z$2&lt;18001,265,IF($Z$2&lt;33501,440,IF($Z$2&lt;54001,658,875))))),"")</f>
        <v>875</v>
      </c>
      <c r="U46" s="107">
        <f t="shared" ref="U46:U55" si="106">IFERROR(IF(C46="","",IF(AND(S46="",T46=""),"",SUM(S46-T46))),"")</f>
        <v>0</v>
      </c>
      <c r="V46" s="108">
        <f t="shared" ref="V46:V55" si="107">IFERROR(IF($X$10="","",IF(C46="","",IF(O46="","",ROUND(O46*$X$10%,0)))),"")</f>
        <v>0</v>
      </c>
      <c r="W46" s="112"/>
      <c r="X46" s="107">
        <f t="shared" ref="X46:X55" si="108">IFERROR(IF(C46="","",IF(AND(V46="",W46=""),"",SUM(V46-W46))),"")</f>
        <v>0</v>
      </c>
      <c r="Y46" s="119">
        <f t="shared" ref="Y46:Y55" si="109">IFERROR(IF(C46="","",IF(AND(R46="",U46="",X46=""),"",SUM(R46,U46,X46))),"")</f>
        <v>0</v>
      </c>
      <c r="Z46" s="120">
        <f t="shared" ref="Z46:Z55" si="110">IFERROR(IF(C46="","",IF(AND(O46="",Y46=""),"",SUM(O46-Y46))),"")</f>
        <v>3960</v>
      </c>
      <c r="AW46" s="171"/>
      <c r="AX46" s="171"/>
      <c r="AY46" s="115">
        <f t="shared" si="0"/>
        <v>10</v>
      </c>
      <c r="AZ46" s="133"/>
      <c r="BA46" s="115">
        <f t="shared" si="1"/>
        <v>58</v>
      </c>
      <c r="BB46" s="135">
        <v>45962</v>
      </c>
      <c r="BC46" s="134">
        <f>IF(AND(BB46&gt;$P$8),"",DATE($R$4,($Q$4+31),1))</f>
        <v>45962</v>
      </c>
      <c r="BD46" s="136">
        <f t="shared" si="2"/>
        <v>45962</v>
      </c>
      <c r="BE46" s="136">
        <f t="shared" si="3"/>
        <v>45962</v>
      </c>
      <c r="BF46" s="136">
        <f t="shared" si="4"/>
        <v>45962</v>
      </c>
      <c r="BG46" s="115">
        <f t="shared" si="11"/>
        <v>65000</v>
      </c>
      <c r="BH46" s="115">
        <f t="shared" si="7"/>
        <v>37700</v>
      </c>
      <c r="BI46" s="115">
        <f t="shared" si="8"/>
        <v>6500</v>
      </c>
      <c r="BJ46" s="115">
        <f t="shared" si="12"/>
        <v>62500</v>
      </c>
      <c r="BK46" s="115">
        <f t="shared" si="9"/>
        <v>36250</v>
      </c>
      <c r="BL46" s="115">
        <f t="shared" si="10"/>
        <v>6250</v>
      </c>
      <c r="BM46" s="115" t="str">
        <f t="shared" si="5"/>
        <v/>
      </c>
      <c r="BN46" s="115" t="str">
        <f t="shared" si="6"/>
        <v/>
      </c>
    </row>
    <row r="47" spans="1:66" ht="17.45" customHeight="1">
      <c r="A47" s="115">
        <f t="shared" si="86"/>
        <v>25</v>
      </c>
      <c r="B47" s="108">
        <f t="shared" si="87"/>
        <v>25</v>
      </c>
      <c r="C47" s="110">
        <f t="shared" si="88"/>
        <v>45748</v>
      </c>
      <c r="D47" s="108">
        <f t="shared" si="89"/>
        <v>63100</v>
      </c>
      <c r="E47" s="108">
        <f t="shared" si="90"/>
        <v>34705</v>
      </c>
      <c r="F47" s="108">
        <f t="shared" si="91"/>
        <v>6310</v>
      </c>
      <c r="G47" s="107">
        <f t="shared" si="92"/>
        <v>104115</v>
      </c>
      <c r="H47" s="108">
        <f t="shared" si="93"/>
        <v>60700</v>
      </c>
      <c r="I47" s="108">
        <f t="shared" si="94"/>
        <v>33385</v>
      </c>
      <c r="J47" s="108">
        <f t="shared" si="95"/>
        <v>6070</v>
      </c>
      <c r="K47" s="107">
        <f t="shared" si="96"/>
        <v>100155</v>
      </c>
      <c r="L47" s="108">
        <f t="shared" si="97"/>
        <v>2400</v>
      </c>
      <c r="M47" s="108">
        <f t="shared" si="98"/>
        <v>1320</v>
      </c>
      <c r="N47" s="108">
        <f t="shared" si="99"/>
        <v>240</v>
      </c>
      <c r="O47" s="118">
        <f t="shared" si="100"/>
        <v>3960</v>
      </c>
      <c r="P47" s="108" t="str">
        <f t="shared" si="101"/>
        <v/>
      </c>
      <c r="Q47" s="108" t="str">
        <f t="shared" si="102"/>
        <v/>
      </c>
      <c r="R47" s="107" t="str">
        <f t="shared" si="103"/>
        <v/>
      </c>
      <c r="S47" s="190">
        <f t="shared" si="104"/>
        <v>875</v>
      </c>
      <c r="T47" s="190">
        <f t="shared" si="105"/>
        <v>875</v>
      </c>
      <c r="U47" s="107">
        <f t="shared" si="106"/>
        <v>0</v>
      </c>
      <c r="V47" s="108">
        <f t="shared" si="107"/>
        <v>0</v>
      </c>
      <c r="W47" s="112"/>
      <c r="X47" s="107">
        <f t="shared" si="108"/>
        <v>0</v>
      </c>
      <c r="Y47" s="119">
        <f t="shared" si="109"/>
        <v>0</v>
      </c>
      <c r="Z47" s="120">
        <f t="shared" si="110"/>
        <v>3960</v>
      </c>
      <c r="AW47" s="171"/>
      <c r="AX47" s="171"/>
      <c r="AY47" s="115">
        <f t="shared" si="0"/>
        <v>10</v>
      </c>
      <c r="AZ47" s="133"/>
      <c r="BA47" s="115">
        <f t="shared" si="1"/>
        <v>58</v>
      </c>
      <c r="BB47" s="135">
        <v>45992</v>
      </c>
      <c r="BC47" s="134">
        <f>IF(AND(BB47&gt;$P$8),"",DATE($R$4,($Q$4+32),1))</f>
        <v>45992</v>
      </c>
      <c r="BD47" s="136">
        <f t="shared" si="2"/>
        <v>45992</v>
      </c>
      <c r="BE47" s="136">
        <f t="shared" si="3"/>
        <v>45992</v>
      </c>
      <c r="BF47" s="136">
        <f t="shared" si="4"/>
        <v>45992</v>
      </c>
      <c r="BG47" s="115">
        <f t="shared" si="11"/>
        <v>65000</v>
      </c>
      <c r="BH47" s="115">
        <f t="shared" si="7"/>
        <v>37700</v>
      </c>
      <c r="BI47" s="115">
        <f t="shared" si="8"/>
        <v>6500</v>
      </c>
      <c r="BJ47" s="115">
        <f t="shared" si="12"/>
        <v>62500</v>
      </c>
      <c r="BK47" s="115">
        <f t="shared" si="9"/>
        <v>36250</v>
      </c>
      <c r="BL47" s="115">
        <f t="shared" si="10"/>
        <v>6250</v>
      </c>
      <c r="BM47" s="115" t="str">
        <f t="shared" si="5"/>
        <v/>
      </c>
      <c r="BN47" s="115" t="str">
        <f t="shared" si="6"/>
        <v/>
      </c>
    </row>
    <row r="48" spans="1:66" ht="17.45" customHeight="1">
      <c r="A48" s="115">
        <f t="shared" si="86"/>
        <v>26</v>
      </c>
      <c r="B48" s="108">
        <f t="shared" si="87"/>
        <v>26</v>
      </c>
      <c r="C48" s="110">
        <f t="shared" si="88"/>
        <v>45778</v>
      </c>
      <c r="D48" s="108">
        <f t="shared" si="89"/>
        <v>63100</v>
      </c>
      <c r="E48" s="108">
        <f t="shared" si="90"/>
        <v>34705</v>
      </c>
      <c r="F48" s="108">
        <f t="shared" si="91"/>
        <v>6310</v>
      </c>
      <c r="G48" s="107">
        <f t="shared" si="92"/>
        <v>104115</v>
      </c>
      <c r="H48" s="108">
        <f t="shared" si="93"/>
        <v>60700</v>
      </c>
      <c r="I48" s="108">
        <f t="shared" si="94"/>
        <v>33385</v>
      </c>
      <c r="J48" s="108">
        <f t="shared" si="95"/>
        <v>6070</v>
      </c>
      <c r="K48" s="107">
        <f t="shared" si="96"/>
        <v>100155</v>
      </c>
      <c r="L48" s="108">
        <f t="shared" si="97"/>
        <v>2400</v>
      </c>
      <c r="M48" s="108">
        <f t="shared" si="98"/>
        <v>1320</v>
      </c>
      <c r="N48" s="108">
        <f t="shared" si="99"/>
        <v>240</v>
      </c>
      <c r="O48" s="118">
        <f t="shared" si="100"/>
        <v>3960</v>
      </c>
      <c r="P48" s="108" t="str">
        <f t="shared" si="101"/>
        <v/>
      </c>
      <c r="Q48" s="108" t="str">
        <f t="shared" si="102"/>
        <v/>
      </c>
      <c r="R48" s="107" t="str">
        <f t="shared" si="103"/>
        <v/>
      </c>
      <c r="S48" s="190">
        <f t="shared" si="104"/>
        <v>875</v>
      </c>
      <c r="T48" s="190">
        <f t="shared" si="105"/>
        <v>875</v>
      </c>
      <c r="U48" s="107">
        <f t="shared" si="106"/>
        <v>0</v>
      </c>
      <c r="V48" s="108">
        <f t="shared" si="107"/>
        <v>0</v>
      </c>
      <c r="W48" s="112"/>
      <c r="X48" s="107">
        <f t="shared" si="108"/>
        <v>0</v>
      </c>
      <c r="Y48" s="119">
        <f t="shared" si="109"/>
        <v>0</v>
      </c>
      <c r="Z48" s="120">
        <f t="shared" si="110"/>
        <v>3960</v>
      </c>
      <c r="AW48" s="171"/>
      <c r="AX48" s="171"/>
      <c r="AY48" s="115">
        <f t="shared" si="0"/>
        <v>10</v>
      </c>
      <c r="AZ48" s="133"/>
      <c r="BA48" s="115">
        <f t="shared" si="1"/>
        <v>58</v>
      </c>
      <c r="BB48" s="135">
        <v>46023</v>
      </c>
      <c r="BC48" s="134" t="str">
        <f>IF(AND(BB48&gt;$P$8),"",DATE($R$4,($Q$4+33),1))</f>
        <v/>
      </c>
      <c r="BD48" s="136" t="str">
        <f t="shared" si="2"/>
        <v/>
      </c>
      <c r="BE48" s="136" t="str">
        <f t="shared" si="3"/>
        <v/>
      </c>
      <c r="BF48" s="136" t="str">
        <f t="shared" si="4"/>
        <v/>
      </c>
      <c r="BG48" s="115" t="str">
        <f t="shared" si="11"/>
        <v/>
      </c>
      <c r="BH48" s="115" t="str">
        <f t="shared" si="7"/>
        <v/>
      </c>
      <c r="BI48" s="115" t="str">
        <f t="shared" si="8"/>
        <v/>
      </c>
      <c r="BJ48" s="115" t="str">
        <f t="shared" si="12"/>
        <v/>
      </c>
      <c r="BK48" s="115" t="str">
        <f t="shared" si="9"/>
        <v/>
      </c>
      <c r="BL48" s="115" t="str">
        <f t="shared" si="10"/>
        <v/>
      </c>
      <c r="BM48" s="115" t="str">
        <f t="shared" si="5"/>
        <v/>
      </c>
      <c r="BN48" s="115" t="str">
        <f t="shared" si="6"/>
        <v/>
      </c>
    </row>
    <row r="49" spans="1:66" ht="17.45" customHeight="1">
      <c r="A49" s="115">
        <f t="shared" si="86"/>
        <v>27</v>
      </c>
      <c r="B49" s="108">
        <f t="shared" si="87"/>
        <v>27</v>
      </c>
      <c r="C49" s="110">
        <f t="shared" si="88"/>
        <v>45809</v>
      </c>
      <c r="D49" s="108">
        <f t="shared" si="89"/>
        <v>63100</v>
      </c>
      <c r="E49" s="108">
        <f t="shared" si="90"/>
        <v>34705</v>
      </c>
      <c r="F49" s="108">
        <f t="shared" si="91"/>
        <v>6310</v>
      </c>
      <c r="G49" s="107">
        <f t="shared" si="92"/>
        <v>104115</v>
      </c>
      <c r="H49" s="108">
        <f t="shared" si="93"/>
        <v>60700</v>
      </c>
      <c r="I49" s="108">
        <f t="shared" si="94"/>
        <v>33385</v>
      </c>
      <c r="J49" s="108">
        <f t="shared" si="95"/>
        <v>6070</v>
      </c>
      <c r="K49" s="107">
        <f t="shared" si="96"/>
        <v>100155</v>
      </c>
      <c r="L49" s="108">
        <f t="shared" si="97"/>
        <v>2400</v>
      </c>
      <c r="M49" s="108">
        <f t="shared" si="98"/>
        <v>1320</v>
      </c>
      <c r="N49" s="108">
        <f t="shared" si="99"/>
        <v>240</v>
      </c>
      <c r="O49" s="118">
        <f t="shared" si="100"/>
        <v>3960</v>
      </c>
      <c r="P49" s="108" t="str">
        <f t="shared" si="101"/>
        <v/>
      </c>
      <c r="Q49" s="108" t="str">
        <f t="shared" si="102"/>
        <v/>
      </c>
      <c r="R49" s="107" t="str">
        <f t="shared" si="103"/>
        <v/>
      </c>
      <c r="S49" s="190">
        <f t="shared" si="104"/>
        <v>875</v>
      </c>
      <c r="T49" s="190">
        <f t="shared" si="105"/>
        <v>875</v>
      </c>
      <c r="U49" s="107">
        <f t="shared" si="106"/>
        <v>0</v>
      </c>
      <c r="V49" s="108">
        <f t="shared" si="107"/>
        <v>0</v>
      </c>
      <c r="W49" s="112"/>
      <c r="X49" s="107">
        <f t="shared" si="108"/>
        <v>0</v>
      </c>
      <c r="Y49" s="119">
        <f t="shared" si="109"/>
        <v>0</v>
      </c>
      <c r="Z49" s="120">
        <f t="shared" si="110"/>
        <v>3960</v>
      </c>
      <c r="AW49" s="171"/>
      <c r="AX49" s="171"/>
      <c r="AY49" s="115">
        <f t="shared" si="0"/>
        <v>10</v>
      </c>
      <c r="AZ49" s="133"/>
      <c r="BA49" s="115">
        <f t="shared" si="1"/>
        <v>58</v>
      </c>
      <c r="BB49" s="135">
        <v>46054</v>
      </c>
      <c r="BC49" s="134" t="str">
        <f t="shared" ref="BC49:BC58" si="111">IF(AND(BB49&gt;$P$8),"",DATE($R$4,($Q$4+30),1))</f>
        <v/>
      </c>
      <c r="BD49" s="136" t="str">
        <f t="shared" si="2"/>
        <v/>
      </c>
      <c r="BE49" s="136" t="str">
        <f t="shared" si="3"/>
        <v/>
      </c>
      <c r="BF49" s="136" t="str">
        <f t="shared" si="4"/>
        <v/>
      </c>
      <c r="BG49" s="115" t="str">
        <f t="shared" si="11"/>
        <v/>
      </c>
      <c r="BH49" s="115" t="str">
        <f t="shared" si="7"/>
        <v/>
      </c>
      <c r="BI49" s="115" t="str">
        <f t="shared" si="8"/>
        <v/>
      </c>
      <c r="BJ49" s="115" t="str">
        <f t="shared" si="12"/>
        <v/>
      </c>
      <c r="BK49" s="115" t="str">
        <f t="shared" si="9"/>
        <v/>
      </c>
      <c r="BL49" s="115" t="str">
        <f t="shared" si="10"/>
        <v/>
      </c>
      <c r="BM49" s="115" t="str">
        <f t="shared" si="5"/>
        <v/>
      </c>
      <c r="BN49" s="115" t="str">
        <f t="shared" si="6"/>
        <v/>
      </c>
    </row>
    <row r="50" spans="1:66" ht="17.45" customHeight="1">
      <c r="A50" s="115">
        <f t="shared" si="86"/>
        <v>28</v>
      </c>
      <c r="B50" s="108">
        <f t="shared" si="87"/>
        <v>28</v>
      </c>
      <c r="C50" s="110">
        <f t="shared" si="88"/>
        <v>45839</v>
      </c>
      <c r="D50" s="108">
        <f t="shared" si="89"/>
        <v>65000</v>
      </c>
      <c r="E50" s="108">
        <f t="shared" si="90"/>
        <v>37700</v>
      </c>
      <c r="F50" s="108">
        <f t="shared" si="91"/>
        <v>6500</v>
      </c>
      <c r="G50" s="107">
        <f t="shared" si="92"/>
        <v>109200</v>
      </c>
      <c r="H50" s="108">
        <f t="shared" si="93"/>
        <v>62500</v>
      </c>
      <c r="I50" s="108">
        <f t="shared" si="94"/>
        <v>36250</v>
      </c>
      <c r="J50" s="108">
        <f t="shared" si="95"/>
        <v>6250</v>
      </c>
      <c r="K50" s="107">
        <f t="shared" si="96"/>
        <v>105000</v>
      </c>
      <c r="L50" s="108">
        <f t="shared" si="97"/>
        <v>2500</v>
      </c>
      <c r="M50" s="108">
        <f t="shared" si="98"/>
        <v>1450</v>
      </c>
      <c r="N50" s="108">
        <f t="shared" si="99"/>
        <v>250</v>
      </c>
      <c r="O50" s="118">
        <f t="shared" si="100"/>
        <v>4200</v>
      </c>
      <c r="P50" s="108">
        <f t="shared" si="101"/>
        <v>1950</v>
      </c>
      <c r="Q50" s="108">
        <f t="shared" si="102"/>
        <v>1875</v>
      </c>
      <c r="R50" s="107">
        <f t="shared" si="103"/>
        <v>75</v>
      </c>
      <c r="S50" s="190">
        <f t="shared" si="104"/>
        <v>875</v>
      </c>
      <c r="T50" s="190">
        <f t="shared" si="105"/>
        <v>875</v>
      </c>
      <c r="U50" s="107">
        <f t="shared" si="106"/>
        <v>0</v>
      </c>
      <c r="V50" s="108">
        <f t="shared" si="107"/>
        <v>0</v>
      </c>
      <c r="W50" s="112"/>
      <c r="X50" s="107">
        <f t="shared" si="108"/>
        <v>0</v>
      </c>
      <c r="Y50" s="119">
        <f t="shared" si="109"/>
        <v>75</v>
      </c>
      <c r="Z50" s="120">
        <f t="shared" si="110"/>
        <v>4125</v>
      </c>
      <c r="AY50" s="115">
        <f t="shared" si="0"/>
        <v>10</v>
      </c>
      <c r="AZ50" s="133"/>
      <c r="BA50" s="115">
        <f t="shared" si="1"/>
        <v>58</v>
      </c>
      <c r="BB50" s="135">
        <v>46082</v>
      </c>
      <c r="BC50" s="134" t="str">
        <f t="shared" si="111"/>
        <v/>
      </c>
      <c r="BD50" s="136" t="str">
        <f t="shared" si="2"/>
        <v/>
      </c>
      <c r="BE50" s="136" t="str">
        <f t="shared" si="3"/>
        <v/>
      </c>
      <c r="BF50" s="136" t="str">
        <f t="shared" si="4"/>
        <v/>
      </c>
      <c r="BG50" s="115" t="str">
        <f t="shared" si="11"/>
        <v/>
      </c>
      <c r="BH50" s="115" t="str">
        <f t="shared" si="7"/>
        <v/>
      </c>
      <c r="BI50" s="115" t="str">
        <f t="shared" si="8"/>
        <v/>
      </c>
      <c r="BJ50" s="115" t="str">
        <f t="shared" si="12"/>
        <v/>
      </c>
      <c r="BK50" s="115" t="str">
        <f t="shared" si="9"/>
        <v/>
      </c>
      <c r="BL50" s="115" t="str">
        <f t="shared" si="10"/>
        <v/>
      </c>
      <c r="BM50" s="115" t="str">
        <f t="shared" si="5"/>
        <v/>
      </c>
      <c r="BN50" s="115" t="str">
        <f t="shared" si="6"/>
        <v/>
      </c>
    </row>
    <row r="51" spans="1:66" ht="17.45" customHeight="1">
      <c r="A51" s="115">
        <f t="shared" si="86"/>
        <v>29</v>
      </c>
      <c r="B51" s="108">
        <f t="shared" si="87"/>
        <v>29</v>
      </c>
      <c r="C51" s="110">
        <f t="shared" si="88"/>
        <v>45870</v>
      </c>
      <c r="D51" s="108">
        <f t="shared" si="89"/>
        <v>65000</v>
      </c>
      <c r="E51" s="108">
        <f t="shared" si="90"/>
        <v>37700</v>
      </c>
      <c r="F51" s="108">
        <f t="shared" si="91"/>
        <v>6500</v>
      </c>
      <c r="G51" s="107">
        <f t="shared" si="92"/>
        <v>109200</v>
      </c>
      <c r="H51" s="108">
        <f t="shared" si="93"/>
        <v>62500</v>
      </c>
      <c r="I51" s="108">
        <f t="shared" si="94"/>
        <v>36250</v>
      </c>
      <c r="J51" s="108">
        <f t="shared" si="95"/>
        <v>6250</v>
      </c>
      <c r="K51" s="107">
        <f t="shared" si="96"/>
        <v>105000</v>
      </c>
      <c r="L51" s="108">
        <f t="shared" si="97"/>
        <v>2500</v>
      </c>
      <c r="M51" s="108">
        <f t="shared" si="98"/>
        <v>1450</v>
      </c>
      <c r="N51" s="108">
        <f t="shared" si="99"/>
        <v>250</v>
      </c>
      <c r="O51" s="118">
        <f t="shared" si="100"/>
        <v>4200</v>
      </c>
      <c r="P51" s="108">
        <f t="shared" si="101"/>
        <v>1950</v>
      </c>
      <c r="Q51" s="108">
        <f t="shared" si="102"/>
        <v>1875</v>
      </c>
      <c r="R51" s="107">
        <f t="shared" si="103"/>
        <v>75</v>
      </c>
      <c r="S51" s="190">
        <f t="shared" si="104"/>
        <v>875</v>
      </c>
      <c r="T51" s="190">
        <f t="shared" si="105"/>
        <v>875</v>
      </c>
      <c r="U51" s="107">
        <f t="shared" si="106"/>
        <v>0</v>
      </c>
      <c r="V51" s="108">
        <f t="shared" si="107"/>
        <v>0</v>
      </c>
      <c r="W51" s="112"/>
      <c r="X51" s="107">
        <f t="shared" si="108"/>
        <v>0</v>
      </c>
      <c r="Y51" s="119">
        <f t="shared" si="109"/>
        <v>75</v>
      </c>
      <c r="Z51" s="120">
        <f t="shared" si="110"/>
        <v>4125</v>
      </c>
      <c r="AY51" s="115">
        <f t="shared" si="0"/>
        <v>10</v>
      </c>
      <c r="AZ51" s="133"/>
      <c r="BA51" s="115">
        <f t="shared" si="1"/>
        <v>58</v>
      </c>
      <c r="BB51" s="135">
        <v>46113</v>
      </c>
      <c r="BC51" s="134" t="str">
        <f t="shared" si="111"/>
        <v/>
      </c>
      <c r="BD51" s="136" t="str">
        <f t="shared" si="2"/>
        <v/>
      </c>
      <c r="BE51" s="136" t="str">
        <f t="shared" si="3"/>
        <v/>
      </c>
      <c r="BF51" s="136" t="str">
        <f t="shared" si="4"/>
        <v/>
      </c>
      <c r="BG51" s="115" t="str">
        <f t="shared" si="11"/>
        <v/>
      </c>
      <c r="BH51" s="115" t="str">
        <f t="shared" si="7"/>
        <v/>
      </c>
      <c r="BI51" s="115" t="str">
        <f t="shared" si="8"/>
        <v/>
      </c>
      <c r="BJ51" s="115" t="str">
        <f t="shared" si="12"/>
        <v/>
      </c>
      <c r="BK51" s="115" t="str">
        <f t="shared" si="9"/>
        <v/>
      </c>
      <c r="BL51" s="115" t="str">
        <f t="shared" si="10"/>
        <v/>
      </c>
      <c r="BM51" s="115" t="str">
        <f t="shared" si="5"/>
        <v/>
      </c>
      <c r="BN51" s="115" t="str">
        <f t="shared" si="6"/>
        <v/>
      </c>
    </row>
    <row r="52" spans="1:66" ht="17.45" customHeight="1">
      <c r="A52" s="115">
        <f t="shared" si="86"/>
        <v>30</v>
      </c>
      <c r="B52" s="108">
        <f t="shared" si="87"/>
        <v>30</v>
      </c>
      <c r="C52" s="110">
        <f t="shared" si="88"/>
        <v>45901</v>
      </c>
      <c r="D52" s="108">
        <f t="shared" si="89"/>
        <v>65000</v>
      </c>
      <c r="E52" s="108">
        <f t="shared" si="90"/>
        <v>37700</v>
      </c>
      <c r="F52" s="108">
        <f t="shared" si="91"/>
        <v>6500</v>
      </c>
      <c r="G52" s="107">
        <f t="shared" si="92"/>
        <v>109200</v>
      </c>
      <c r="H52" s="108">
        <f t="shared" si="93"/>
        <v>62500</v>
      </c>
      <c r="I52" s="108">
        <f t="shared" si="94"/>
        <v>36250</v>
      </c>
      <c r="J52" s="108">
        <f t="shared" si="95"/>
        <v>6250</v>
      </c>
      <c r="K52" s="107">
        <f t="shared" si="96"/>
        <v>105000</v>
      </c>
      <c r="L52" s="108">
        <f t="shared" si="97"/>
        <v>2500</v>
      </c>
      <c r="M52" s="108">
        <f t="shared" si="98"/>
        <v>1450</v>
      </c>
      <c r="N52" s="108">
        <f t="shared" si="99"/>
        <v>250</v>
      </c>
      <c r="O52" s="118">
        <f t="shared" si="100"/>
        <v>4200</v>
      </c>
      <c r="P52" s="108">
        <f t="shared" si="101"/>
        <v>1950</v>
      </c>
      <c r="Q52" s="108">
        <f t="shared" si="102"/>
        <v>1875</v>
      </c>
      <c r="R52" s="107">
        <f t="shared" si="103"/>
        <v>75</v>
      </c>
      <c r="S52" s="190">
        <f t="shared" si="104"/>
        <v>875</v>
      </c>
      <c r="T52" s="190">
        <f t="shared" si="105"/>
        <v>875</v>
      </c>
      <c r="U52" s="107">
        <f t="shared" si="106"/>
        <v>0</v>
      </c>
      <c r="V52" s="108">
        <f t="shared" si="107"/>
        <v>0</v>
      </c>
      <c r="W52" s="112"/>
      <c r="X52" s="107">
        <f t="shared" si="108"/>
        <v>0</v>
      </c>
      <c r="Y52" s="119">
        <f t="shared" si="109"/>
        <v>75</v>
      </c>
      <c r="Z52" s="120">
        <f t="shared" si="110"/>
        <v>4125</v>
      </c>
      <c r="AY52" s="115">
        <f t="shared" si="0"/>
        <v>10</v>
      </c>
      <c r="AZ52" s="133"/>
      <c r="BA52" s="115">
        <f t="shared" si="1"/>
        <v>58</v>
      </c>
      <c r="BB52" s="135">
        <v>46143</v>
      </c>
      <c r="BC52" s="134" t="str">
        <f t="shared" si="111"/>
        <v/>
      </c>
      <c r="BD52" s="136" t="str">
        <f t="shared" si="2"/>
        <v/>
      </c>
      <c r="BE52" s="136" t="str">
        <f t="shared" si="3"/>
        <v/>
      </c>
      <c r="BF52" s="136" t="str">
        <f t="shared" si="4"/>
        <v/>
      </c>
      <c r="BG52" s="115" t="str">
        <f t="shared" si="11"/>
        <v/>
      </c>
      <c r="BH52" s="115" t="str">
        <f t="shared" si="7"/>
        <v/>
      </c>
      <c r="BI52" s="115" t="str">
        <f t="shared" si="8"/>
        <v/>
      </c>
      <c r="BJ52" s="115" t="str">
        <f t="shared" si="12"/>
        <v/>
      </c>
      <c r="BK52" s="115" t="str">
        <f t="shared" si="9"/>
        <v/>
      </c>
      <c r="BL52" s="115" t="str">
        <f t="shared" si="10"/>
        <v/>
      </c>
      <c r="BM52" s="115" t="str">
        <f t="shared" si="5"/>
        <v/>
      </c>
      <c r="BN52" s="115" t="str">
        <f t="shared" si="6"/>
        <v/>
      </c>
    </row>
    <row r="53" spans="1:66" ht="17.45" customHeight="1">
      <c r="A53" s="115">
        <f t="shared" si="86"/>
        <v>31</v>
      </c>
      <c r="B53" s="108">
        <f t="shared" si="87"/>
        <v>31</v>
      </c>
      <c r="C53" s="110">
        <f t="shared" si="88"/>
        <v>45931</v>
      </c>
      <c r="D53" s="108">
        <f t="shared" si="89"/>
        <v>65000</v>
      </c>
      <c r="E53" s="108">
        <f t="shared" si="90"/>
        <v>37700</v>
      </c>
      <c r="F53" s="108">
        <f t="shared" si="91"/>
        <v>6500</v>
      </c>
      <c r="G53" s="107">
        <f t="shared" si="92"/>
        <v>109200</v>
      </c>
      <c r="H53" s="108">
        <f t="shared" si="93"/>
        <v>62500</v>
      </c>
      <c r="I53" s="108">
        <f t="shared" si="94"/>
        <v>36250</v>
      </c>
      <c r="J53" s="108">
        <f t="shared" si="95"/>
        <v>6250</v>
      </c>
      <c r="K53" s="107">
        <f t="shared" si="96"/>
        <v>105000</v>
      </c>
      <c r="L53" s="108">
        <f t="shared" si="97"/>
        <v>2500</v>
      </c>
      <c r="M53" s="108">
        <f t="shared" si="98"/>
        <v>1450</v>
      </c>
      <c r="N53" s="108">
        <f t="shared" si="99"/>
        <v>250</v>
      </c>
      <c r="O53" s="118">
        <f t="shared" si="100"/>
        <v>4200</v>
      </c>
      <c r="P53" s="108" t="str">
        <f t="shared" si="101"/>
        <v/>
      </c>
      <c r="Q53" s="108" t="str">
        <f t="shared" si="102"/>
        <v/>
      </c>
      <c r="R53" s="107" t="str">
        <f t="shared" si="103"/>
        <v/>
      </c>
      <c r="S53" s="190">
        <f t="shared" si="104"/>
        <v>875</v>
      </c>
      <c r="T53" s="190">
        <f t="shared" si="105"/>
        <v>875</v>
      </c>
      <c r="U53" s="107">
        <f t="shared" si="106"/>
        <v>0</v>
      </c>
      <c r="V53" s="108">
        <f t="shared" si="107"/>
        <v>0</v>
      </c>
      <c r="W53" s="112"/>
      <c r="X53" s="107">
        <f t="shared" si="108"/>
        <v>0</v>
      </c>
      <c r="Y53" s="119">
        <f t="shared" si="109"/>
        <v>0</v>
      </c>
      <c r="Z53" s="120">
        <f t="shared" si="110"/>
        <v>4200</v>
      </c>
      <c r="AY53" s="115">
        <f t="shared" si="0"/>
        <v>10</v>
      </c>
      <c r="AZ53" s="133"/>
      <c r="BA53" s="115">
        <f t="shared" si="1"/>
        <v>58</v>
      </c>
      <c r="BB53" s="135">
        <v>46174</v>
      </c>
      <c r="BC53" s="134" t="str">
        <f t="shared" si="111"/>
        <v/>
      </c>
      <c r="BD53" s="136" t="str">
        <f t="shared" si="2"/>
        <v/>
      </c>
      <c r="BE53" s="136" t="str">
        <f t="shared" si="3"/>
        <v/>
      </c>
      <c r="BF53" s="136" t="str">
        <f t="shared" si="4"/>
        <v/>
      </c>
      <c r="BG53" s="115" t="str">
        <f t="shared" si="11"/>
        <v/>
      </c>
      <c r="BH53" s="115" t="str">
        <f t="shared" si="7"/>
        <v/>
      </c>
      <c r="BI53" s="115" t="str">
        <f t="shared" si="8"/>
        <v/>
      </c>
      <c r="BJ53" s="115" t="str">
        <f t="shared" si="12"/>
        <v/>
      </c>
      <c r="BK53" s="115" t="str">
        <f t="shared" si="9"/>
        <v/>
      </c>
      <c r="BL53" s="115" t="str">
        <f t="shared" si="10"/>
        <v/>
      </c>
      <c r="BM53" s="115" t="str">
        <f t="shared" si="5"/>
        <v/>
      </c>
      <c r="BN53" s="115" t="str">
        <f t="shared" si="6"/>
        <v/>
      </c>
    </row>
    <row r="54" spans="1:66" ht="17.45" customHeight="1">
      <c r="A54" s="115">
        <f t="shared" si="86"/>
        <v>32</v>
      </c>
      <c r="B54" s="108">
        <f t="shared" si="87"/>
        <v>32</v>
      </c>
      <c r="C54" s="110">
        <f t="shared" si="88"/>
        <v>45962</v>
      </c>
      <c r="D54" s="108">
        <f t="shared" si="89"/>
        <v>65000</v>
      </c>
      <c r="E54" s="108">
        <f t="shared" si="90"/>
        <v>37700</v>
      </c>
      <c r="F54" s="108">
        <f t="shared" si="91"/>
        <v>6500</v>
      </c>
      <c r="G54" s="107">
        <f t="shared" si="92"/>
        <v>109200</v>
      </c>
      <c r="H54" s="108">
        <f t="shared" si="93"/>
        <v>62500</v>
      </c>
      <c r="I54" s="108">
        <f t="shared" si="94"/>
        <v>36250</v>
      </c>
      <c r="J54" s="108">
        <f t="shared" si="95"/>
        <v>6250</v>
      </c>
      <c r="K54" s="107">
        <f t="shared" si="96"/>
        <v>105000</v>
      </c>
      <c r="L54" s="108">
        <f t="shared" si="97"/>
        <v>2500</v>
      </c>
      <c r="M54" s="108">
        <f t="shared" si="98"/>
        <v>1450</v>
      </c>
      <c r="N54" s="108">
        <f t="shared" si="99"/>
        <v>250</v>
      </c>
      <c r="O54" s="118">
        <f t="shared" si="100"/>
        <v>4200</v>
      </c>
      <c r="P54" s="108" t="str">
        <f t="shared" si="101"/>
        <v/>
      </c>
      <c r="Q54" s="108" t="str">
        <f t="shared" si="102"/>
        <v/>
      </c>
      <c r="R54" s="107" t="str">
        <f t="shared" si="103"/>
        <v/>
      </c>
      <c r="S54" s="190">
        <f t="shared" si="104"/>
        <v>875</v>
      </c>
      <c r="T54" s="190">
        <f t="shared" si="105"/>
        <v>875</v>
      </c>
      <c r="U54" s="107">
        <f t="shared" si="106"/>
        <v>0</v>
      </c>
      <c r="V54" s="108">
        <f t="shared" si="107"/>
        <v>0</v>
      </c>
      <c r="W54" s="112"/>
      <c r="X54" s="107">
        <f t="shared" si="108"/>
        <v>0</v>
      </c>
      <c r="Y54" s="119">
        <f t="shared" si="109"/>
        <v>0</v>
      </c>
      <c r="Z54" s="120">
        <f t="shared" si="110"/>
        <v>4200</v>
      </c>
      <c r="AY54" s="115">
        <f t="shared" si="0"/>
        <v>10</v>
      </c>
      <c r="AZ54" s="133"/>
      <c r="BA54" s="115">
        <f t="shared" si="1"/>
        <v>58</v>
      </c>
      <c r="BB54" s="135">
        <v>46204</v>
      </c>
      <c r="BC54" s="134" t="str">
        <f t="shared" si="111"/>
        <v/>
      </c>
      <c r="BD54" s="136" t="str">
        <f t="shared" si="2"/>
        <v/>
      </c>
      <c r="BE54" s="136" t="str">
        <f t="shared" si="3"/>
        <v/>
      </c>
      <c r="BF54" s="136" t="str">
        <f t="shared" si="4"/>
        <v/>
      </c>
      <c r="BG54" s="115" t="str">
        <f t="shared" si="11"/>
        <v/>
      </c>
      <c r="BH54" s="115" t="str">
        <f t="shared" si="7"/>
        <v/>
      </c>
      <c r="BI54" s="115" t="str">
        <f t="shared" si="8"/>
        <v/>
      </c>
      <c r="BJ54" s="115" t="str">
        <f t="shared" si="12"/>
        <v/>
      </c>
      <c r="BK54" s="115" t="str">
        <f t="shared" si="9"/>
        <v/>
      </c>
      <c r="BL54" s="115" t="str">
        <f t="shared" si="10"/>
        <v/>
      </c>
      <c r="BM54" s="115" t="str">
        <f t="shared" si="5"/>
        <v/>
      </c>
      <c r="BN54" s="115" t="str">
        <f t="shared" si="6"/>
        <v/>
      </c>
    </row>
    <row r="55" spans="1:66" ht="17.45" customHeight="1">
      <c r="A55" s="115">
        <f t="shared" si="86"/>
        <v>33</v>
      </c>
      <c r="B55" s="108">
        <f t="shared" si="87"/>
        <v>33</v>
      </c>
      <c r="C55" s="110">
        <f t="shared" si="88"/>
        <v>45992</v>
      </c>
      <c r="D55" s="108">
        <f t="shared" si="89"/>
        <v>65000</v>
      </c>
      <c r="E55" s="108">
        <f t="shared" si="90"/>
        <v>37700</v>
      </c>
      <c r="F55" s="108">
        <f t="shared" si="91"/>
        <v>6500</v>
      </c>
      <c r="G55" s="107">
        <f t="shared" si="92"/>
        <v>109200</v>
      </c>
      <c r="H55" s="108">
        <f t="shared" si="93"/>
        <v>62500</v>
      </c>
      <c r="I55" s="108">
        <f t="shared" si="94"/>
        <v>36250</v>
      </c>
      <c r="J55" s="108">
        <f t="shared" si="95"/>
        <v>6250</v>
      </c>
      <c r="K55" s="107">
        <f t="shared" si="96"/>
        <v>105000</v>
      </c>
      <c r="L55" s="108">
        <f t="shared" si="97"/>
        <v>2500</v>
      </c>
      <c r="M55" s="108">
        <f t="shared" si="98"/>
        <v>1450</v>
      </c>
      <c r="N55" s="108">
        <f t="shared" si="99"/>
        <v>250</v>
      </c>
      <c r="O55" s="118">
        <f t="shared" si="100"/>
        <v>4200</v>
      </c>
      <c r="P55" s="108" t="str">
        <f t="shared" si="101"/>
        <v/>
      </c>
      <c r="Q55" s="108" t="str">
        <f t="shared" si="102"/>
        <v/>
      </c>
      <c r="R55" s="107" t="str">
        <f t="shared" si="103"/>
        <v/>
      </c>
      <c r="S55" s="190">
        <f t="shared" si="104"/>
        <v>875</v>
      </c>
      <c r="T55" s="190">
        <f t="shared" si="105"/>
        <v>875</v>
      </c>
      <c r="U55" s="107">
        <f t="shared" si="106"/>
        <v>0</v>
      </c>
      <c r="V55" s="108">
        <f t="shared" si="107"/>
        <v>0</v>
      </c>
      <c r="W55" s="112"/>
      <c r="X55" s="107">
        <f t="shared" si="108"/>
        <v>0</v>
      </c>
      <c r="Y55" s="119">
        <f t="shared" si="109"/>
        <v>0</v>
      </c>
      <c r="Z55" s="120">
        <f t="shared" si="110"/>
        <v>4200</v>
      </c>
      <c r="AY55" s="115">
        <f t="shared" si="0"/>
        <v>10</v>
      </c>
      <c r="AZ55" s="133"/>
      <c r="BA55" s="115">
        <f t="shared" si="1"/>
        <v>58</v>
      </c>
      <c r="BB55" s="135">
        <v>46235</v>
      </c>
      <c r="BC55" s="134" t="str">
        <f t="shared" si="111"/>
        <v/>
      </c>
      <c r="BD55" s="136" t="str">
        <f t="shared" si="2"/>
        <v/>
      </c>
      <c r="BE55" s="136" t="str">
        <f t="shared" si="3"/>
        <v/>
      </c>
      <c r="BF55" s="136" t="str">
        <f t="shared" si="4"/>
        <v/>
      </c>
      <c r="BG55" s="115" t="str">
        <f t="shared" si="11"/>
        <v/>
      </c>
      <c r="BH55" s="115" t="str">
        <f t="shared" si="7"/>
        <v/>
      </c>
      <c r="BI55" s="115" t="str">
        <f t="shared" si="8"/>
        <v/>
      </c>
      <c r="BJ55" s="115" t="str">
        <f t="shared" si="12"/>
        <v/>
      </c>
      <c r="BK55" s="115" t="str">
        <f t="shared" si="9"/>
        <v/>
      </c>
      <c r="BL55" s="115" t="str">
        <f t="shared" si="10"/>
        <v/>
      </c>
      <c r="BM55" s="115" t="str">
        <f t="shared" si="5"/>
        <v/>
      </c>
      <c r="BN55" s="115" t="str">
        <f t="shared" si="6"/>
        <v/>
      </c>
    </row>
    <row r="56" spans="1:66" ht="57.75" customHeight="1">
      <c r="B56" s="320" t="s">
        <v>156</v>
      </c>
      <c r="C56" s="320"/>
      <c r="D56" s="122">
        <f>IFERROR(IF(OR($P$6="",$P$8="",$P$4="",$Q$4="",$R$4="",$P$10=""),"",SUM(D23:D55)),"")</f>
        <v>2015683</v>
      </c>
      <c r="E56" s="122">
        <f t="shared" ref="E56:Y56" si="112">IFERROR(IF(OR($P$6="",$P$8="",$P$4="",$Q$4="",$R$4="",$P$10=""),"",SUM(E23:E55)),"")</f>
        <v>1043987</v>
      </c>
      <c r="F56" s="122">
        <f t="shared" si="112"/>
        <v>190359</v>
      </c>
      <c r="G56" s="122">
        <f t="shared" si="112"/>
        <v>3250029</v>
      </c>
      <c r="H56" s="122">
        <f t="shared" si="112"/>
        <v>1937947</v>
      </c>
      <c r="I56" s="122">
        <f t="shared" si="112"/>
        <v>1003754</v>
      </c>
      <c r="J56" s="122">
        <f t="shared" si="112"/>
        <v>183021</v>
      </c>
      <c r="K56" s="122">
        <f t="shared" si="112"/>
        <v>3124722</v>
      </c>
      <c r="L56" s="122">
        <f t="shared" si="112"/>
        <v>77736</v>
      </c>
      <c r="M56" s="122">
        <f t="shared" si="112"/>
        <v>40233</v>
      </c>
      <c r="N56" s="122">
        <f t="shared" si="112"/>
        <v>7338</v>
      </c>
      <c r="O56" s="122">
        <f t="shared" si="112"/>
        <v>125307</v>
      </c>
      <c r="P56" s="122">
        <f t="shared" si="112"/>
        <v>30658</v>
      </c>
      <c r="Q56" s="122">
        <f t="shared" si="112"/>
        <v>29473</v>
      </c>
      <c r="R56" s="122">
        <f t="shared" si="112"/>
        <v>1185</v>
      </c>
      <c r="S56" s="122">
        <f t="shared" si="112"/>
        <v>28875</v>
      </c>
      <c r="T56" s="122">
        <f t="shared" si="112"/>
        <v>28875</v>
      </c>
      <c r="U56" s="122">
        <f t="shared" si="112"/>
        <v>0</v>
      </c>
      <c r="V56" s="122">
        <f t="shared" si="112"/>
        <v>0</v>
      </c>
      <c r="W56" s="122">
        <f t="shared" si="112"/>
        <v>0</v>
      </c>
      <c r="X56" s="122">
        <f t="shared" si="112"/>
        <v>0</v>
      </c>
      <c r="Y56" s="122">
        <f t="shared" si="112"/>
        <v>1185</v>
      </c>
      <c r="Z56" s="122">
        <f>IFERROR(IF(OR($P$6="",$P$8="",$P$4="",$Q$4="",$R$4="",$P$10=""),"",SUM(Z23:Z55)),"")</f>
        <v>124122</v>
      </c>
      <c r="AY56" s="115">
        <f t="shared" si="0"/>
        <v>10</v>
      </c>
      <c r="AZ56" s="133">
        <f>DATE($R$4,($Q$4+9),1)</f>
        <v>45292</v>
      </c>
      <c r="BA56" s="115">
        <f t="shared" si="1"/>
        <v>58</v>
      </c>
      <c r="BB56" s="135">
        <v>46266</v>
      </c>
      <c r="BC56" s="134" t="str">
        <f t="shared" si="111"/>
        <v/>
      </c>
      <c r="BD56" s="136" t="str">
        <f t="shared" si="2"/>
        <v/>
      </c>
      <c r="BE56" s="136" t="str">
        <f t="shared" si="3"/>
        <v/>
      </c>
      <c r="BF56" s="136" t="str">
        <f t="shared" si="4"/>
        <v/>
      </c>
      <c r="BG56" s="115" t="str">
        <f t="shared" si="11"/>
        <v/>
      </c>
      <c r="BH56" s="115" t="str">
        <f t="shared" si="7"/>
        <v/>
      </c>
      <c r="BI56" s="115" t="str">
        <f t="shared" si="8"/>
        <v/>
      </c>
      <c r="BJ56" s="115" t="str">
        <f t="shared" si="12"/>
        <v/>
      </c>
      <c r="BK56" s="115" t="str">
        <f t="shared" si="9"/>
        <v/>
      </c>
      <c r="BL56" s="115" t="str">
        <f t="shared" si="10"/>
        <v/>
      </c>
      <c r="BM56" s="115" t="str">
        <f t="shared" si="5"/>
        <v/>
      </c>
      <c r="BN56" s="115" t="str">
        <f t="shared" si="6"/>
        <v/>
      </c>
    </row>
    <row r="57" spans="1:66" ht="8.25" customHeight="1">
      <c r="AY57" s="115">
        <f t="shared" si="0"/>
        <v>10</v>
      </c>
      <c r="BA57" s="115">
        <f t="shared" si="1"/>
        <v>58</v>
      </c>
      <c r="BB57" s="135">
        <v>46296</v>
      </c>
      <c r="BC57" s="134" t="str">
        <f t="shared" si="111"/>
        <v/>
      </c>
      <c r="BD57" s="136" t="str">
        <f t="shared" si="2"/>
        <v/>
      </c>
      <c r="BE57" s="136" t="str">
        <f t="shared" si="3"/>
        <v/>
      </c>
      <c r="BF57" s="136" t="str">
        <f t="shared" si="4"/>
        <v/>
      </c>
      <c r="BG57" s="115" t="str">
        <f t="shared" si="11"/>
        <v/>
      </c>
      <c r="BH57" s="115" t="str">
        <f t="shared" si="7"/>
        <v/>
      </c>
      <c r="BI57" s="115" t="str">
        <f t="shared" si="8"/>
        <v/>
      </c>
      <c r="BJ57" s="115" t="str">
        <f t="shared" si="12"/>
        <v/>
      </c>
      <c r="BK57" s="115" t="str">
        <f t="shared" si="9"/>
        <v/>
      </c>
      <c r="BL57" s="115" t="str">
        <f t="shared" si="10"/>
        <v/>
      </c>
      <c r="BM57" s="115" t="str">
        <f t="shared" si="5"/>
        <v/>
      </c>
      <c r="BN57" s="115" t="str">
        <f t="shared" si="6"/>
        <v/>
      </c>
    </row>
    <row r="58" spans="1:66" ht="17.25">
      <c r="H58" s="352" t="s">
        <v>173</v>
      </c>
      <c r="I58" s="352"/>
      <c r="J58" s="352"/>
      <c r="K58" s="352"/>
      <c r="L58" s="352"/>
      <c r="M58" s="348" t="str">
        <f>IF(AND(Z56=""),"",IF(AND(Z56=0),"","( Rs. "&amp;LOOKUP(IF(INT(RIGHT(Z56,7)/100000)&gt;19,INT(RIGHT(Z56,7)/1000000),IF(INT(RIGHT(Z56,7)/100000)&gt;=10,INT(RIGHT(Z56,7)/100000),0)),{0,1,2,3,4,5,6,7,8,9,10,11,12,13,14,15,16,17,18,19},{""," TEN "," TWENTY "," THIRTY "," FOURTY "," FIFTY "," SIXTY "," SEVENTY "," EIGHTY "," NINETY "," TEN "," ELEVEN "," TWELVE "," THIRTEEN "," FOURTEEN "," FIFTEEN "," SIXTEEN"," SEVENTEEN"," EIGHTEEN "," NINETEEN "})&amp;IF((IF(INT(RIGHT(Z56,7)/100000)&gt;19,INT(RIGHT(Z56,7)/1000000),IF(INT(RIGHT(Z56,7)/100000)&gt;=10,INT(RIGHT(Z56,7)/100000),0))+IF(INT(RIGHT(Z56,7)/100000)&gt;19,INT(RIGHT(Z56,6)/100000),IF(INT(RIGHT(Z56,7)/100000)&gt;10,0,INT(RIGHT(Z56,6)/100000))))&gt;0,LOOKUP(IF(INT(RIGHT(Z56,7)/100000)&gt;19,INT(RIGHT(Z56,6)/100000),IF(INT(RIGHT(Z56,7)/100000)&gt;10,0,INT(RIGHT(Z56,6)/100000))),{0,1,2,3,4,5,6,7,8,9,10,11,12,13,14,15,16,17,18,19},{""," ONE "," TWO "," THREE "," FOUR "," FIVE "," SIX "," SEVEN "," EIGHT "," NINE "," TEN "," ELEVEN "," TWELVE "," THIRTEEN "," FOURTEEN "," FIFTEEN "," SIXTEEN"," SEVENTEEN"," EIGHTEEN "," NINETEEN "})&amp;" Lac. "," ")&amp;LOOKUP(IF(INT(RIGHT(Z56,5)/1000)&gt;19,INT(RIGHT(Z56,5)/10000),IF(INT(RIGHT(Z56,5)/1000)&gt;=10,INT(RIGHT(Z56,5)/1000),0)),{0,1,2,3,4,5,6,7,8,9,10,11,12,13,14,15,16,17,18,19},{""," TEN "," TWENTY "," THIRTY "," FOURTY "," FIFTY "," SIXTY "," SEVENTY "," EIGHTY "," NINETY "," TEN "," ELEVEN "," TWELVE "," THIRTEEN "," FOURTEEN "," FIFTEEN "," SIXTEEN"," SEVENTEEN"," EIGHTEEN "," NINETEEN "})&amp;IF((IF(INT(RIGHT(Z56,5)/1000)&gt;19,INT(RIGHT(Z56,4)/1000),IF(INT(RIGHT(Z56,5)/1000)&gt;10,0,INT(RIGHT(Z56,4)/1000)))+IF(INT(RIGHT(Z56,5)/1000)&gt;19,INT(RIGHT(Z56,5)/10000),IF(INT(RIGHT(Z56,5)/1000)&gt;=10,INT(RIGHT(Z56,5)/1000),0)))&gt;0,LOOKUP(IF(INT(RIGHT(Z56,5)/1000)&gt;19,INT(RIGHT(Z56,4)/1000),IF(INT(RIGHT(Z56,5)/1000)&gt;10,0,INT(RIGHT(Z56,4)/1000))),{0,1,2,3,4,5,6,7,8,9,10,11,12,13,14,15,16,17,18,19},{""," ONE "," TWO "," THREE "," FOUR "," FIVE "," SIX "," SEVEN "," EIGHT "," NINE "," TEN "," ELEVEN "," TWELVE "," THIRTEEN "," FOURTEEN "," FIFTEEN "," SIXTEEN"," SEVENTEEN"," EIGHTEEN "," NINETEEN "})&amp;" THOUSAND "," ")&amp;IF((INT((RIGHT(Z56,3))/100))&gt;0,LOOKUP(INT((RIGHT(Z56,3))/100),{0,1,2,3,4,5,6,7,8,9,10,11,12,13,14,15,16,17,18,19},{""," ONE "," TWO "," THREE "," FOUR "," FIVE "," SIX "," SEVEN "," EIGHT "," NINE "," TEN "," ELEVEN "," TWELVE "," THIRTEEN "," FOURTEEN "," FIFTEEN "," SIXTEEN"," SEVENTEEN"," EIGHTEEN "," NINETEEN "})&amp;" HUNDRED "," ")&amp;LOOKUP(IF(INT(RIGHT(Z56,2))&gt;19,INT(RIGHT(Z56,2)/10),IF(INT(RIGHT(Z56,2))&gt;=10,INT(RIGHT(Z56,2)),0)),{0,1,2,3,4,5,6,7,8,9,10,11,12,13,14,15,16,17,18,19},{""," TEN "," TWENTY "," THIRTY "," FOURTY "," FIFTY "," SIXTY "," SEVENTY "," EIGHTY "," NINETY "," TEN "," ELEVEN "," TWELVE "," THIRTEEN "," FOURTEEN "," FIFTEEN "," SIXTEEN"," SEVENTEEN"," EIGHTEEN "," NINETEEN "})&amp;LOOKUP(IF(INT(RIGHT(Z56,2))&lt;10,INT(RIGHT(Z56,1)),IF(INT(RIGHT(Z56,2))&lt;20,0,INT(RIGHT(Z56,1)))),{0,1,2,3,4,5,6,7,8,9,10,11,12,13,14,15,16,17,18,19},{""," ONE "," TWO "," THREE "," FOUR "," FIVE "," SIX "," SEVEN "," EIGHT "," NINE "," TEN "," ELEVEN "," TWELVE "," THIRTEEN "," FOURTEEN "," FIFTEEN "," SIXTEEN"," SEVENTEEN"," EIGHTEEN "," NINETEEN "})&amp;" Only  )"))</f>
        <v>( Rs.  ONE  Lac.  TWENTY  FOUR  THOUSAND  ONE  HUNDRED  TWENTY  TWO  Only  )</v>
      </c>
      <c r="N58" s="348"/>
      <c r="O58" s="348"/>
      <c r="P58" s="348"/>
      <c r="Q58" s="348"/>
      <c r="R58" s="348"/>
      <c r="S58" s="348"/>
      <c r="T58" s="348"/>
      <c r="U58" s="348"/>
      <c r="V58" s="348"/>
      <c r="W58" s="348"/>
      <c r="X58" s="348"/>
      <c r="Y58" s="348"/>
      <c r="Z58" s="348"/>
      <c r="AY58" s="115">
        <f t="shared" si="0"/>
        <v>10</v>
      </c>
      <c r="BA58" s="115">
        <f t="shared" si="1"/>
        <v>58</v>
      </c>
      <c r="BB58" s="135">
        <v>46327</v>
      </c>
      <c r="BC58" s="134" t="str">
        <f t="shared" si="111"/>
        <v/>
      </c>
      <c r="BD58" s="136" t="str">
        <f t="shared" si="2"/>
        <v/>
      </c>
      <c r="BE58" s="136" t="str">
        <f t="shared" si="3"/>
        <v/>
      </c>
      <c r="BF58" s="136" t="str">
        <f t="shared" si="4"/>
        <v/>
      </c>
      <c r="BG58" s="115" t="str">
        <f t="shared" si="11"/>
        <v/>
      </c>
      <c r="BH58" s="115" t="str">
        <f t="shared" si="7"/>
        <v/>
      </c>
      <c r="BI58" s="115" t="str">
        <f t="shared" si="8"/>
        <v/>
      </c>
      <c r="BJ58" s="115" t="str">
        <f t="shared" si="12"/>
        <v/>
      </c>
      <c r="BK58" s="115" t="str">
        <f t="shared" si="9"/>
        <v/>
      </c>
      <c r="BL58" s="115" t="str">
        <f t="shared" si="10"/>
        <v/>
      </c>
      <c r="BM58" s="115" t="str">
        <f t="shared" si="5"/>
        <v/>
      </c>
      <c r="BN58" s="115" t="str">
        <f t="shared" si="6"/>
        <v/>
      </c>
    </row>
    <row r="59" spans="1:66" ht="15" customHeight="1">
      <c r="U59" s="351"/>
      <c r="V59" s="351"/>
      <c r="W59" s="351"/>
      <c r="X59" s="351"/>
      <c r="Y59" s="351"/>
      <c r="Z59" s="351"/>
      <c r="BC59" s="134"/>
      <c r="BD59" s="136" t="str">
        <f t="shared" si="2"/>
        <v/>
      </c>
      <c r="BE59" s="136" t="str">
        <f t="shared" si="3"/>
        <v/>
      </c>
      <c r="BF59" s="136" t="str">
        <f t="shared" si="4"/>
        <v/>
      </c>
      <c r="BG59" s="115" t="str">
        <f t="shared" si="11"/>
        <v/>
      </c>
      <c r="BH59" s="115" t="str">
        <f t="shared" si="7"/>
        <v/>
      </c>
      <c r="BI59" s="115" t="str">
        <f t="shared" si="8"/>
        <v/>
      </c>
      <c r="BJ59" s="115" t="str">
        <f t="shared" ref="BJ59" si="113">IFERROR(IF(BF59="","",IF(OR(BF59=$BB$18,BF59=$BB$30,BF59=$BB$42),MROUND(BJ58*1.03,100),BJ58)),"")</f>
        <v/>
      </c>
      <c r="BK59" s="115" t="str">
        <f t="shared" si="9"/>
        <v/>
      </c>
      <c r="BL59" s="115" t="str">
        <f t="shared" si="10"/>
        <v/>
      </c>
      <c r="BM59" s="115" t="str">
        <f t="shared" si="5"/>
        <v/>
      </c>
      <c r="BN59" s="115" t="str">
        <f t="shared" si="6"/>
        <v/>
      </c>
    </row>
    <row r="60" spans="1:66" ht="15" customHeight="1">
      <c r="C60" s="346" t="s">
        <v>180</v>
      </c>
      <c r="D60" s="347"/>
      <c r="E60" s="353" t="s">
        <v>181</v>
      </c>
      <c r="F60" s="354"/>
      <c r="G60" s="346" t="s">
        <v>182</v>
      </c>
      <c r="H60" s="347"/>
      <c r="I60" s="346" t="s">
        <v>192</v>
      </c>
      <c r="J60" s="347"/>
      <c r="K60" s="346" t="s">
        <v>183</v>
      </c>
      <c r="L60" s="347"/>
      <c r="U60" s="289" t="str">
        <f>IFERROR(CONCATENATE("( ",IF('Master Sheet'!D9="","",UPPER('Master Sheet'!D9))," ) ",),"")</f>
        <v xml:space="preserve">( USHA PALIYA ) </v>
      </c>
      <c r="V60" s="289"/>
      <c r="W60" s="289"/>
      <c r="X60" s="289"/>
      <c r="Y60" s="289"/>
      <c r="Z60" s="289"/>
      <c r="BM60" s="115" t="str">
        <f t="shared" si="5"/>
        <v/>
      </c>
      <c r="BN60" s="115" t="str">
        <f t="shared" si="6"/>
        <v/>
      </c>
    </row>
    <row r="61" spans="1:66" ht="15.75">
      <c r="C61" s="355">
        <f>IF(G56="","",G56)</f>
        <v>3250029</v>
      </c>
      <c r="D61" s="355"/>
      <c r="E61" s="355">
        <f>IF(K56="","",K56)</f>
        <v>3124722</v>
      </c>
      <c r="F61" s="355"/>
      <c r="G61" s="356">
        <f>IF(O56="","",O56)</f>
        <v>125307</v>
      </c>
      <c r="H61" s="356"/>
      <c r="I61" s="357">
        <f>IF(Y56="","",Y56)</f>
        <v>1185</v>
      </c>
      <c r="J61" s="357"/>
      <c r="K61" s="358">
        <f>IF(Z56="","",Z56)</f>
        <v>124122</v>
      </c>
      <c r="L61" s="358"/>
      <c r="U61" s="349" t="s">
        <v>174</v>
      </c>
      <c r="V61" s="349"/>
      <c r="W61" s="349"/>
      <c r="X61" s="349"/>
      <c r="Y61" s="349"/>
      <c r="Z61" s="349"/>
    </row>
    <row r="62" spans="1:66">
      <c r="C62" s="355"/>
      <c r="D62" s="355"/>
      <c r="E62" s="355"/>
      <c r="F62" s="355"/>
      <c r="G62" s="356"/>
      <c r="H62" s="356"/>
      <c r="I62" s="357"/>
      <c r="J62" s="357"/>
      <c r="K62" s="358"/>
      <c r="L62" s="358"/>
      <c r="U62" s="350" t="str">
        <f>IFERROR(CONCATENATE(IF('Master Sheet'!D7="","",('Master Sheet'!D7))," , ",IF('Master Sheet'!Q9="","",'Master Sheet'!Q9)),"")</f>
        <v>Mahatma Gandhi Government School (English Medium) Bar, (Beawar) , 11111</v>
      </c>
      <c r="V62" s="350"/>
      <c r="W62" s="350"/>
      <c r="X62" s="350"/>
      <c r="Y62" s="350"/>
      <c r="Z62" s="350"/>
    </row>
    <row r="63" spans="1:66">
      <c r="U63" s="350"/>
      <c r="V63" s="350"/>
      <c r="W63" s="350"/>
      <c r="X63" s="350"/>
      <c r="Y63" s="350"/>
      <c r="Z63" s="350"/>
    </row>
    <row r="64" spans="1:66" ht="18.75">
      <c r="B64" s="131" t="s">
        <v>175</v>
      </c>
      <c r="C64" s="361"/>
      <c r="D64" s="361"/>
      <c r="E64" s="361"/>
      <c r="F64" s="361"/>
      <c r="G64" s="361"/>
      <c r="H64" s="123"/>
      <c r="I64" s="132" t="s">
        <v>121</v>
      </c>
      <c r="J64" s="362">
        <f ca="1">TODAY()</f>
        <v>45973</v>
      </c>
      <c r="K64" s="362"/>
    </row>
    <row r="65" spans="2:26" ht="15.75">
      <c r="B65" s="363" t="s">
        <v>176</v>
      </c>
      <c r="C65" s="363"/>
      <c r="D65" s="363"/>
      <c r="E65" s="363"/>
      <c r="F65" s="363"/>
      <c r="G65" s="363"/>
      <c r="H65" s="363"/>
    </row>
    <row r="66" spans="2:26" ht="18.75">
      <c r="B66" s="124">
        <v>1</v>
      </c>
      <c r="C66" s="364" t="s">
        <v>177</v>
      </c>
      <c r="D66" s="364"/>
      <c r="E66" s="364"/>
      <c r="F66" s="364"/>
      <c r="G66" s="364"/>
      <c r="H66" s="364"/>
      <c r="I66" s="123"/>
      <c r="J66" s="125"/>
      <c r="L66" s="126"/>
      <c r="M66" s="126"/>
      <c r="N66" s="126"/>
      <c r="O66" s="126"/>
      <c r="P66" s="126"/>
      <c r="U66" s="351"/>
      <c r="V66" s="351"/>
      <c r="W66" s="351"/>
      <c r="X66" s="351"/>
      <c r="Y66" s="351"/>
      <c r="Z66" s="351"/>
    </row>
    <row r="67" spans="2:26" ht="18.75">
      <c r="B67" s="127">
        <v>2</v>
      </c>
      <c r="C67" s="359" t="s">
        <v>178</v>
      </c>
      <c r="D67" s="359"/>
      <c r="E67" s="359"/>
      <c r="F67" s="359"/>
      <c r="G67" s="360" t="str">
        <f>CONCATENATE(IF('Master Sheet'!D11="","",'Master Sheet'!D11),",  ",IF('Master Sheet'!N11="","",'Master Sheet'!N11))</f>
        <v>HEERALAL JAT,  Sr. Teacher</v>
      </c>
      <c r="H67" s="360"/>
      <c r="I67" s="360"/>
      <c r="J67" s="360"/>
      <c r="K67" s="360"/>
      <c r="L67" s="360"/>
      <c r="M67" s="360"/>
      <c r="N67" s="360"/>
      <c r="O67" s="130"/>
      <c r="P67" s="130"/>
      <c r="U67" s="289" t="str">
        <f>IFERROR(CONCATENATE("( ",IF('Master Sheet'!D9="","",UPPER('Master Sheet'!D9))," ) ",),"")</f>
        <v xml:space="preserve">( USHA PALIYA ) </v>
      </c>
      <c r="V67" s="289"/>
      <c r="W67" s="289"/>
      <c r="X67" s="289"/>
      <c r="Y67" s="289"/>
      <c r="Z67" s="289"/>
    </row>
    <row r="68" spans="2:26" ht="18.75">
      <c r="B68" s="124">
        <v>3</v>
      </c>
      <c r="C68" s="359" t="s">
        <v>179</v>
      </c>
      <c r="D68" s="359"/>
      <c r="E68" s="128"/>
      <c r="F68" s="128"/>
      <c r="G68" s="129"/>
      <c r="H68" s="129"/>
      <c r="I68" s="129"/>
      <c r="J68" s="129"/>
      <c r="K68" s="129"/>
      <c r="L68" s="129"/>
      <c r="M68" s="129"/>
      <c r="N68" s="129"/>
      <c r="O68" s="129"/>
      <c r="P68" s="129"/>
      <c r="U68" s="349" t="s">
        <v>174</v>
      </c>
      <c r="V68" s="349"/>
      <c r="W68" s="349"/>
      <c r="X68" s="349"/>
      <c r="Y68" s="349"/>
      <c r="Z68" s="349"/>
    </row>
    <row r="69" spans="2:26">
      <c r="U69" s="350" t="str">
        <f>IFERROR(CONCATENATE(IF('Master Sheet'!D7="","",('Master Sheet'!D7))," , ",IF('Master Sheet'!Q9="","",'Master Sheet'!Q9)),"")</f>
        <v>Mahatma Gandhi Government School (English Medium) Bar, (Beawar) , 11111</v>
      </c>
      <c r="V69" s="350"/>
      <c r="W69" s="350"/>
      <c r="X69" s="350"/>
      <c r="Y69" s="350"/>
      <c r="Z69" s="350"/>
    </row>
    <row r="70" spans="2:26">
      <c r="U70" s="350"/>
      <c r="V70" s="350"/>
      <c r="W70" s="350"/>
      <c r="X70" s="350"/>
      <c r="Y70" s="350"/>
      <c r="Z70" s="350"/>
    </row>
    <row r="71" spans="2:26"/>
    <row r="72" spans="2:26"/>
    <row r="73" spans="2:26"/>
    <row r="74" spans="2:26"/>
  </sheetData>
  <sheetProtection password="C1FB" sheet="1" objects="1" scenarios="1" formatColumns="0" formatRows="0"/>
  <mergeCells count="78">
    <mergeCell ref="U69:Z70"/>
    <mergeCell ref="C61:D62"/>
    <mergeCell ref="E61:F62"/>
    <mergeCell ref="G61:H62"/>
    <mergeCell ref="I61:J62"/>
    <mergeCell ref="K61:L62"/>
    <mergeCell ref="C68:D68"/>
    <mergeCell ref="G67:N67"/>
    <mergeCell ref="U66:Z66"/>
    <mergeCell ref="U67:Z67"/>
    <mergeCell ref="U68:Z68"/>
    <mergeCell ref="C64:G64"/>
    <mergeCell ref="J64:K64"/>
    <mergeCell ref="B65:H65"/>
    <mergeCell ref="C66:H66"/>
    <mergeCell ref="C67:F67"/>
    <mergeCell ref="C60:D60"/>
    <mergeCell ref="M58:Z58"/>
    <mergeCell ref="U61:Z61"/>
    <mergeCell ref="U60:Z60"/>
    <mergeCell ref="U62:Z63"/>
    <mergeCell ref="U59:Z59"/>
    <mergeCell ref="H58:L58"/>
    <mergeCell ref="K60:L60"/>
    <mergeCell ref="I60:J60"/>
    <mergeCell ref="G60:H60"/>
    <mergeCell ref="E60:F60"/>
    <mergeCell ref="C20:C22"/>
    <mergeCell ref="Y20:Y22"/>
    <mergeCell ref="M21:M22"/>
    <mergeCell ref="N21:N22"/>
    <mergeCell ref="O21:O22"/>
    <mergeCell ref="P21:R21"/>
    <mergeCell ref="V21:X21"/>
    <mergeCell ref="Z20:Z22"/>
    <mergeCell ref="D21:D22"/>
    <mergeCell ref="E21:E22"/>
    <mergeCell ref="F21:F22"/>
    <mergeCell ref="G21:G22"/>
    <mergeCell ref="H21:H22"/>
    <mergeCell ref="I21:I22"/>
    <mergeCell ref="J21:J22"/>
    <mergeCell ref="K21:K22"/>
    <mergeCell ref="L21:L22"/>
    <mergeCell ref="B20:B22"/>
    <mergeCell ref="B56:C56"/>
    <mergeCell ref="H2:U2"/>
    <mergeCell ref="J6:O6"/>
    <mergeCell ref="P6:R6"/>
    <mergeCell ref="J8:O8"/>
    <mergeCell ref="M17:O17"/>
    <mergeCell ref="S21:U21"/>
    <mergeCell ref="D20:G20"/>
    <mergeCell ref="H20:K20"/>
    <mergeCell ref="L20:O20"/>
    <mergeCell ref="P20:X20"/>
    <mergeCell ref="P8:R8"/>
    <mergeCell ref="C15:Z15"/>
    <mergeCell ref="C17:E17"/>
    <mergeCell ref="F17:J17"/>
    <mergeCell ref="K18:R18"/>
    <mergeCell ref="P17:R17"/>
    <mergeCell ref="J10:O10"/>
    <mergeCell ref="P10:R10"/>
    <mergeCell ref="Q16:S16"/>
    <mergeCell ref="J16:L16"/>
    <mergeCell ref="M16:O16"/>
    <mergeCell ref="K17:L17"/>
    <mergeCell ref="S17:Z18"/>
    <mergeCell ref="D13:M13"/>
    <mergeCell ref="U10:W10"/>
    <mergeCell ref="T6:Y6"/>
    <mergeCell ref="O12:S12"/>
    <mergeCell ref="C12:J12"/>
    <mergeCell ref="B4:G4"/>
    <mergeCell ref="B6:G6"/>
    <mergeCell ref="I4:O4"/>
    <mergeCell ref="J11:O11"/>
  </mergeCells>
  <conditionalFormatting sqref="P3:R3">
    <cfRule type="expression" dxfId="2" priority="3" stopIfTrue="1">
      <formula>$H$22="NO"</formula>
    </cfRule>
  </conditionalFormatting>
  <conditionalFormatting sqref="S6">
    <cfRule type="expression" dxfId="1" priority="2">
      <formula>$Z$4=$Q$4</formula>
    </cfRule>
  </conditionalFormatting>
  <conditionalFormatting sqref="O12:S13">
    <cfRule type="cellIs" dxfId="0" priority="1" operator="equal">
      <formula>"Complete Entry"</formula>
    </cfRule>
  </conditionalFormatting>
  <dataValidations count="2">
    <dataValidation type="list" allowBlank="1" showInputMessage="1" showErrorMessage="1" sqref="P6:R6 P8:R8">
      <formula1>month</formula1>
    </dataValidation>
    <dataValidation type="list" allowBlank="1" showInputMessage="1" showErrorMessage="1" error="नवम्बर 2024 से पहले का मकान किराया दर स्वतः ले लेगा I" sqref="P10:R10">
      <formula1>"10, 20"</formula1>
    </dataValidation>
  </dataValidations>
  <hyperlinks>
    <hyperlink ref="B6" r:id="rId1"/>
  </hyperlinks>
  <pageMargins left="0.45" right="0.2" top="0.25" bottom="0.25" header="0.3" footer="0.3"/>
  <pageSetup paperSize="9" scale="81" fitToHeight="2" orientation="landscape" blackAndWhite="1" r:id="rId2"/>
  <drawing r:id="rId3"/>
</worksheet>
</file>

<file path=xl/worksheets/sheet8.xml><?xml version="1.0" encoding="utf-8"?>
<worksheet xmlns="http://schemas.openxmlformats.org/spreadsheetml/2006/main" xmlns:r="http://schemas.openxmlformats.org/officeDocument/2006/relationships">
  <sheetPr>
    <tabColor rgb="FF7030A0"/>
    <pageSetUpPr fitToPage="1"/>
  </sheetPr>
  <dimension ref="A1:AB66"/>
  <sheetViews>
    <sheetView showGridLines="0" workbookViewId="0">
      <selection activeCell="T48" sqref="T48"/>
    </sheetView>
  </sheetViews>
  <sheetFormatPr defaultColWidth="0" defaultRowHeight="15" zeroHeight="1"/>
  <cols>
    <col min="1" max="1" width="3.75" customWidth="1"/>
    <col min="2" max="2" width="4.625" customWidth="1"/>
    <col min="3" max="3" width="9" customWidth="1"/>
    <col min="4" max="15" width="7.125" customWidth="1"/>
    <col min="16" max="24" width="6.125" customWidth="1"/>
    <col min="25" max="27" width="8.125" customWidth="1"/>
    <col min="28" max="28" width="9" customWidth="1"/>
    <col min="29" max="16384" width="9" hidden="1"/>
  </cols>
  <sheetData>
    <row r="1" spans="2:27"/>
    <row r="2" spans="2:27" ht="25.5">
      <c r="B2" s="5"/>
      <c r="C2" s="365" t="str">
        <f>CONCATENATE("Office , ",IF('Master Sheet'!D7="","",'Master Sheet'!D7))</f>
        <v>Office , Mahatma Gandhi Government School (English Medium) Bar, (Beawar)</v>
      </c>
      <c r="D2" s="365"/>
      <c r="E2" s="365"/>
      <c r="F2" s="365"/>
      <c r="G2" s="365"/>
      <c r="H2" s="365"/>
      <c r="I2" s="365"/>
      <c r="J2" s="365"/>
      <c r="K2" s="365"/>
      <c r="L2" s="365"/>
      <c r="M2" s="365"/>
      <c r="N2" s="365"/>
      <c r="O2" s="365"/>
      <c r="P2" s="365"/>
      <c r="Q2" s="365"/>
      <c r="R2" s="365"/>
      <c r="S2" s="365"/>
      <c r="T2" s="365"/>
      <c r="U2" s="365"/>
      <c r="V2" s="365"/>
      <c r="W2" s="365"/>
      <c r="X2" s="365"/>
      <c r="Y2" s="365"/>
      <c r="Z2" s="365"/>
      <c r="AA2" s="365"/>
    </row>
    <row r="3" spans="2:27" ht="23.25">
      <c r="B3" s="5"/>
      <c r="C3" s="109"/>
      <c r="D3" s="109"/>
      <c r="E3" s="109"/>
      <c r="F3" s="109"/>
      <c r="G3" s="109"/>
      <c r="H3" s="109"/>
      <c r="I3" s="109"/>
      <c r="J3" s="312" t="s">
        <v>163</v>
      </c>
      <c r="K3" s="312"/>
      <c r="L3" s="312"/>
      <c r="M3" s="313">
        <f>Arrear!M16</f>
        <v>45017</v>
      </c>
      <c r="N3" s="313"/>
      <c r="O3" s="313"/>
      <c r="P3" s="116" t="s">
        <v>162</v>
      </c>
      <c r="Q3" s="311">
        <f>Arrear!Q16</f>
        <v>45992</v>
      </c>
      <c r="R3" s="311"/>
      <c r="S3" s="311"/>
      <c r="T3" s="109"/>
      <c r="U3" s="109"/>
      <c r="V3" s="109"/>
      <c r="W3" s="109"/>
      <c r="X3" s="109"/>
      <c r="Y3" s="109"/>
      <c r="Z3" s="109"/>
      <c r="AA3" s="109"/>
    </row>
    <row r="4" spans="2:27" ht="18.75">
      <c r="B4" s="50"/>
      <c r="C4" s="308" t="s">
        <v>160</v>
      </c>
      <c r="D4" s="308"/>
      <c r="E4" s="308"/>
      <c r="F4" s="366" t="str">
        <f>IF('Master Sheet'!D11="","",UPPER('Master Sheet'!D11))</f>
        <v>HEERALAL JAT</v>
      </c>
      <c r="G4" s="366"/>
      <c r="H4" s="366"/>
      <c r="I4" s="366"/>
      <c r="J4" s="366"/>
      <c r="K4" s="308" t="s">
        <v>159</v>
      </c>
      <c r="L4" s="308"/>
      <c r="M4" s="367" t="str">
        <f>IF('Master Sheet'!N11="","",'Master Sheet'!N11)</f>
        <v>Sr. Teacher</v>
      </c>
      <c r="N4" s="367"/>
      <c r="O4" s="367"/>
      <c r="P4" s="308" t="s">
        <v>161</v>
      </c>
      <c r="Q4" s="308"/>
      <c r="R4" s="308"/>
      <c r="S4" s="368" t="str">
        <f>'Master Sheet'!D7</f>
        <v>Mahatma Gandhi Government School (English Medium) Bar, (Beawar)</v>
      </c>
      <c r="T4" s="368"/>
      <c r="U4" s="368"/>
      <c r="V4" s="368"/>
      <c r="W4" s="368"/>
      <c r="X4" s="368"/>
      <c r="Y4" s="368"/>
      <c r="Z4" s="368"/>
      <c r="AA4" s="368"/>
    </row>
    <row r="5" spans="2:27" ht="18.75">
      <c r="B5" s="50"/>
      <c r="C5" s="162" t="str">
        <f>IFERROR(IF(AND(#REF!="",#REF!=""),"",IF(#REF!&gt;$AT$6,"",#REF!)),"")</f>
        <v/>
      </c>
      <c r="D5" s="162"/>
      <c r="E5" s="162"/>
      <c r="F5" s="114"/>
      <c r="G5" s="114"/>
      <c r="H5" s="114"/>
      <c r="I5" s="114"/>
      <c r="J5" s="114"/>
      <c r="K5" s="307" t="s">
        <v>164</v>
      </c>
      <c r="L5" s="307"/>
      <c r="M5" s="307"/>
      <c r="N5" s="307"/>
      <c r="O5" s="307"/>
      <c r="P5" s="307"/>
      <c r="Q5" s="307"/>
      <c r="R5" s="307"/>
      <c r="S5" s="368"/>
      <c r="T5" s="368"/>
      <c r="U5" s="368"/>
      <c r="V5" s="368"/>
      <c r="W5" s="368"/>
      <c r="X5" s="368"/>
      <c r="Y5" s="368"/>
      <c r="Z5" s="368"/>
      <c r="AA5" s="368"/>
    </row>
    <row r="6" spans="2:27">
      <c r="B6" s="5"/>
      <c r="C6" s="75"/>
      <c r="D6" s="75"/>
      <c r="E6" s="75"/>
      <c r="F6" s="75"/>
      <c r="G6" s="75"/>
      <c r="H6" s="75"/>
      <c r="I6" s="75"/>
      <c r="J6" s="75"/>
      <c r="K6" s="75"/>
      <c r="L6" s="75"/>
      <c r="M6" s="75"/>
      <c r="N6" s="75"/>
      <c r="O6" s="75"/>
      <c r="P6" s="75"/>
      <c r="Q6" s="75"/>
      <c r="R6" s="75"/>
      <c r="S6" s="75"/>
      <c r="T6" s="75"/>
      <c r="U6" s="75"/>
      <c r="V6" s="75"/>
      <c r="W6" s="75"/>
      <c r="X6" s="75"/>
      <c r="Y6" s="75"/>
      <c r="Z6" s="75"/>
      <c r="AA6" s="75"/>
    </row>
    <row r="7" spans="2:27" ht="15.75">
      <c r="B7" s="317" t="s">
        <v>165</v>
      </c>
      <c r="C7" s="340" t="s">
        <v>187</v>
      </c>
      <c r="D7" s="329" t="s">
        <v>184</v>
      </c>
      <c r="E7" s="329"/>
      <c r="F7" s="329"/>
      <c r="G7" s="329"/>
      <c r="H7" s="329" t="s">
        <v>185</v>
      </c>
      <c r="I7" s="329"/>
      <c r="J7" s="329"/>
      <c r="K7" s="329"/>
      <c r="L7" s="329" t="s">
        <v>186</v>
      </c>
      <c r="M7" s="329"/>
      <c r="N7" s="329"/>
      <c r="O7" s="329"/>
      <c r="P7" s="330" t="s">
        <v>191</v>
      </c>
      <c r="Q7" s="331"/>
      <c r="R7" s="331"/>
      <c r="S7" s="331"/>
      <c r="T7" s="331"/>
      <c r="U7" s="331"/>
      <c r="V7" s="331"/>
      <c r="W7" s="331"/>
      <c r="X7" s="332"/>
      <c r="Y7" s="343" t="s">
        <v>151</v>
      </c>
      <c r="Z7" s="335" t="s">
        <v>152</v>
      </c>
      <c r="AA7" s="335" t="s">
        <v>205</v>
      </c>
    </row>
    <row r="8" spans="2:27">
      <c r="B8" s="318"/>
      <c r="C8" s="341"/>
      <c r="D8" s="338" t="s">
        <v>153</v>
      </c>
      <c r="E8" s="338" t="s">
        <v>154</v>
      </c>
      <c r="F8" s="335" t="s">
        <v>155</v>
      </c>
      <c r="G8" s="338" t="s">
        <v>156</v>
      </c>
      <c r="H8" s="338" t="s">
        <v>153</v>
      </c>
      <c r="I8" s="338" t="s">
        <v>154</v>
      </c>
      <c r="J8" s="335" t="s">
        <v>155</v>
      </c>
      <c r="K8" s="338" t="s">
        <v>156</v>
      </c>
      <c r="L8" s="338" t="s">
        <v>153</v>
      </c>
      <c r="M8" s="338" t="s">
        <v>154</v>
      </c>
      <c r="N8" s="335" t="s">
        <v>155</v>
      </c>
      <c r="O8" s="338" t="s">
        <v>156</v>
      </c>
      <c r="P8" s="326" t="s">
        <v>171</v>
      </c>
      <c r="Q8" s="327"/>
      <c r="R8" s="328"/>
      <c r="S8" s="326" t="s">
        <v>157</v>
      </c>
      <c r="T8" s="327"/>
      <c r="U8" s="328"/>
      <c r="V8" s="326" t="s">
        <v>158</v>
      </c>
      <c r="W8" s="327"/>
      <c r="X8" s="328"/>
      <c r="Y8" s="344"/>
      <c r="Z8" s="336"/>
      <c r="AA8" s="336"/>
    </row>
    <row r="9" spans="2:27">
      <c r="B9" s="319"/>
      <c r="C9" s="342"/>
      <c r="D9" s="339"/>
      <c r="E9" s="339"/>
      <c r="F9" s="337"/>
      <c r="G9" s="339"/>
      <c r="H9" s="339"/>
      <c r="I9" s="339"/>
      <c r="J9" s="337"/>
      <c r="K9" s="339"/>
      <c r="L9" s="339"/>
      <c r="M9" s="339"/>
      <c r="N9" s="337"/>
      <c r="O9" s="339"/>
      <c r="P9" s="121" t="s">
        <v>189</v>
      </c>
      <c r="Q9" s="121" t="s">
        <v>188</v>
      </c>
      <c r="R9" s="121" t="s">
        <v>190</v>
      </c>
      <c r="S9" s="121" t="s">
        <v>189</v>
      </c>
      <c r="T9" s="121" t="s">
        <v>188</v>
      </c>
      <c r="U9" s="121" t="s">
        <v>190</v>
      </c>
      <c r="V9" s="121" t="s">
        <v>189</v>
      </c>
      <c r="W9" s="121" t="s">
        <v>188</v>
      </c>
      <c r="X9" s="121" t="s">
        <v>190</v>
      </c>
      <c r="Y9" s="345"/>
      <c r="Z9" s="337"/>
      <c r="AA9" s="337"/>
    </row>
    <row r="10" spans="2:27" ht="23.1" customHeight="1">
      <c r="B10" s="108">
        <f>IFERROR(IF(Arrear!B23="","",IF(Arrear!B23=0,"",Arrear!B23)),"")</f>
        <v>1</v>
      </c>
      <c r="C10" s="110">
        <f>IFERROR(IF(Arrear!C23="","",IF(Arrear!C23=0,"",Arrear!C23)),"")</f>
        <v>45017</v>
      </c>
      <c r="D10" s="108">
        <f>IFERROR(IF(Arrear!D23="","",IF(Arrear!D23=0,"",Arrear!D23)),"")</f>
        <v>13883</v>
      </c>
      <c r="E10" s="108">
        <f>IFERROR(IF(Arrear!E23="","",IF(Arrear!E23=0,"",Arrear!E23)),"")</f>
        <v>5831</v>
      </c>
      <c r="F10" s="108">
        <f>IFERROR(IF(Arrear!F23="","",IF(Arrear!F23=0,"",Arrear!F23)),"")</f>
        <v>1249</v>
      </c>
      <c r="G10" s="167">
        <f>IFERROR(IF(E10="","",IF(D10="","",SUM(D10:F10))),"")</f>
        <v>20963</v>
      </c>
      <c r="H10" s="108">
        <f>IFERROR(IF(Arrear!H23="","",IF(Arrear!H23=0,"",Arrear!H23)),"")</f>
        <v>13347</v>
      </c>
      <c r="I10" s="108">
        <f>IFERROR(IF(Arrear!I23="","",IF(Arrear!I23=0,"",Arrear!I23)),"")</f>
        <v>5606</v>
      </c>
      <c r="J10" s="108">
        <f>IFERROR(IF(Arrear!J23="","",IF(Arrear!J23=0,"",Arrear!J23)),"")</f>
        <v>1201</v>
      </c>
      <c r="K10" s="167">
        <f>IFERROR(IF(H10="","",IF(I10="","",SUM(H10:J10))),"")</f>
        <v>20154</v>
      </c>
      <c r="L10" s="108">
        <f>IFERROR(IF(Arrear!L23="","",IF(Arrear!L23=0,"",Arrear!L23)),"")</f>
        <v>536</v>
      </c>
      <c r="M10" s="108">
        <f>IFERROR(IF(Arrear!M23="","",IF(Arrear!M23=0,"",Arrear!M23)),"")</f>
        <v>225</v>
      </c>
      <c r="N10" s="108">
        <f>IFERROR(IF(Arrear!N23="","",IF(Arrear!N23=0,"",Arrear!N23)),"")</f>
        <v>48</v>
      </c>
      <c r="O10" s="167">
        <f>IFERROR(IF(L10="","",IF(M10="","",SUM(L10:N10))),"")</f>
        <v>809</v>
      </c>
      <c r="P10" s="108" t="str">
        <f>IFERROR(IF(Arrear!P23="","",Arrear!P23),"")</f>
        <v/>
      </c>
      <c r="Q10" s="108" t="str">
        <f>IFERROR(IF(Arrear!Q23="","",Arrear!Q23),"")</f>
        <v/>
      </c>
      <c r="R10" s="167" t="str">
        <f>IFERROR(IF(AND(P10="",Q10=""),"",IF(P10="",Q10,IF(Q10="",P10,SUM(P10-Q10)))),"")</f>
        <v/>
      </c>
      <c r="S10" s="108">
        <f>IFERROR(IF(Arrear!S23="","",Arrear!S23),"")</f>
        <v>875</v>
      </c>
      <c r="T10" s="108">
        <f>IFERROR(IF(Arrear!T23="","",Arrear!T23),"")</f>
        <v>875</v>
      </c>
      <c r="U10" s="167">
        <f>IFERROR(IF(AND(S10="",T10=""),"",IF(S10="",T10,IF(T10="",S10,SUM(S10-T10)))),"")</f>
        <v>0</v>
      </c>
      <c r="V10" s="108">
        <f>IFERROR(IF(Arrear!V23="","",Arrear!V23),"")</f>
        <v>0</v>
      </c>
      <c r="W10" s="108" t="str">
        <f>IFERROR(IF(Arrear!W23="","",Arrear!W23),"")</f>
        <v/>
      </c>
      <c r="X10" s="167">
        <f>IFERROR(IF(AND(V10="",W10=""),"",IF(V10="",W10,IF(W10="",V10,SUM(V10-W10)))),"")</f>
        <v>0</v>
      </c>
      <c r="Y10" s="119">
        <f>IFERROR(IF(AND(R10="",U10="",X10=""),"",SUM(R10,U10,X10)),"")</f>
        <v>0</v>
      </c>
      <c r="Z10" s="118">
        <f>IFERROR(IF(AND(O10="",Y10=""),"",IF(O10="",Y10,IF(Y10="",O10,SUM(O10-Y10)))),"")</f>
        <v>809</v>
      </c>
      <c r="AA10" s="168" t="s">
        <v>206</v>
      </c>
    </row>
    <row r="11" spans="2:27" ht="23.1" customHeight="1">
      <c r="B11" s="108">
        <f>IFERROR(IF(Arrear!B24="","",IF(Arrear!B24=0,"",Arrear!B24)),"")</f>
        <v>2</v>
      </c>
      <c r="C11" s="110">
        <f>IFERROR(IF(Arrear!C24="","",IF(Arrear!C24=0,"",Arrear!C24)),"")</f>
        <v>45047</v>
      </c>
      <c r="D11" s="108">
        <f>IFERROR(IF(Arrear!D24="","",IF(Arrear!D24=0,"",Arrear!D24)),"")</f>
        <v>59500</v>
      </c>
      <c r="E11" s="108">
        <f>IFERROR(IF(Arrear!E24="","",IF(Arrear!E24=0,"",Arrear!E24)),"")</f>
        <v>24990</v>
      </c>
      <c r="F11" s="108">
        <f>IFERROR(IF(Arrear!F24="","",IF(Arrear!F24=0,"",Arrear!F24)),"")</f>
        <v>5355</v>
      </c>
      <c r="G11" s="167">
        <f t="shared" ref="G11:G17" si="0">IFERROR(IF(E11="","",IF(D11="","",SUM(D11:F11))),"")</f>
        <v>89845</v>
      </c>
      <c r="H11" s="108">
        <f>IFERROR(IF(Arrear!H24="","",IF(Arrear!H24=0,"",Arrear!H24)),"")</f>
        <v>57200</v>
      </c>
      <c r="I11" s="108">
        <f>IFERROR(IF(Arrear!I24="","",IF(Arrear!I24=0,"",Arrear!I24)),"")</f>
        <v>24024</v>
      </c>
      <c r="J11" s="108">
        <f>IFERROR(IF(Arrear!J24="","",IF(Arrear!J24=0,"",Arrear!J24)),"")</f>
        <v>5148</v>
      </c>
      <c r="K11" s="167">
        <f t="shared" ref="K11:K17" si="1">IFERROR(IF(H11="","",IF(I11="","",SUM(H11:J11))),"")</f>
        <v>86372</v>
      </c>
      <c r="L11" s="108">
        <f>IFERROR(IF(Arrear!L24="","",IF(Arrear!L24=0,"",Arrear!L24)),"")</f>
        <v>2300</v>
      </c>
      <c r="M11" s="108">
        <f>IFERROR(IF(Arrear!M24="","",IF(Arrear!M24=0,"",Arrear!M24)),"")</f>
        <v>966</v>
      </c>
      <c r="N11" s="108">
        <f>IFERROR(IF(Arrear!N24="","",IF(Arrear!N24=0,"",Arrear!N24)),"")</f>
        <v>207</v>
      </c>
      <c r="O11" s="167">
        <f t="shared" ref="O11:O17" si="2">IFERROR(IF(L11="","",IF(M11="","",SUM(L11:N11))),"")</f>
        <v>3473</v>
      </c>
      <c r="P11" s="108" t="str">
        <f>IFERROR(IF(Arrear!P24="","",Arrear!P24),"")</f>
        <v/>
      </c>
      <c r="Q11" s="108" t="str">
        <f>IFERROR(IF(Arrear!Q24="","",Arrear!Q24),"")</f>
        <v/>
      </c>
      <c r="R11" s="167" t="str">
        <f t="shared" ref="R11:R17" si="3">IFERROR(IF(AND(P11="",Q11=""),"",IF(P11="",Q11,IF(Q11="",P11,SUM(P11-Q11)))),"")</f>
        <v/>
      </c>
      <c r="S11" s="108">
        <f>IFERROR(IF(Arrear!S24="","",Arrear!S24),"")</f>
        <v>875</v>
      </c>
      <c r="T11" s="108">
        <f>IFERROR(IF(Arrear!T24="","",Arrear!T24),"")</f>
        <v>875</v>
      </c>
      <c r="U11" s="167">
        <f t="shared" ref="U11:U17" si="4">IFERROR(IF(AND(S11="",T11=""),"",IF(S11="",T11,IF(T11="",S11,SUM(S11-T11)))),"")</f>
        <v>0</v>
      </c>
      <c r="V11" s="108">
        <f>IFERROR(IF(Arrear!V24="","",Arrear!V24),"")</f>
        <v>0</v>
      </c>
      <c r="W11" s="108" t="str">
        <f>IFERROR(IF(Arrear!W24="","",Arrear!W24),"")</f>
        <v/>
      </c>
      <c r="X11" s="167">
        <f t="shared" ref="X11:X17" si="5">IFERROR(IF(AND(V11="",W11=""),"",IF(V11="",W11,IF(W11="",V11,SUM(V11-W11)))),"")</f>
        <v>0</v>
      </c>
      <c r="Y11" s="119">
        <f t="shared" ref="Y11:Y17" si="6">IFERROR(IF(AND(R11="",U11="",X11=""),"",SUM(R11,U11,X11)),"")</f>
        <v>0</v>
      </c>
      <c r="Z11" s="118">
        <f t="shared" ref="Z11:Z17" si="7">IFERROR(IF(AND(O11="",Y11=""),"",IF(O11="",Y11,IF(Y11="",O11,SUM(O11-Y11)))),"")</f>
        <v>3473</v>
      </c>
      <c r="AA11" s="168" t="s">
        <v>207</v>
      </c>
    </row>
    <row r="12" spans="2:27" ht="23.1" customHeight="1">
      <c r="B12" s="108">
        <f>IFERROR(IF(Arrear!B25="","",IF(Arrear!B25=0,"",Arrear!B25)),"")</f>
        <v>3</v>
      </c>
      <c r="C12" s="110">
        <f>IFERROR(IF(Arrear!C25="","",IF(Arrear!C25=0,"",Arrear!C25)),"")</f>
        <v>45078</v>
      </c>
      <c r="D12" s="108">
        <f>IFERROR(IF(Arrear!D25="","",IF(Arrear!D25=0,"",Arrear!D25)),"")</f>
        <v>59500</v>
      </c>
      <c r="E12" s="108">
        <f>IFERROR(IF(Arrear!E25="","",IF(Arrear!E25=0,"",Arrear!E25)),"")</f>
        <v>24990</v>
      </c>
      <c r="F12" s="108">
        <f>IFERROR(IF(Arrear!F25="","",IF(Arrear!F25=0,"",Arrear!F25)),"")</f>
        <v>5355</v>
      </c>
      <c r="G12" s="167">
        <f t="shared" si="0"/>
        <v>89845</v>
      </c>
      <c r="H12" s="108">
        <f>IFERROR(IF(Arrear!H25="","",IF(Arrear!H25=0,"",Arrear!H25)),"")</f>
        <v>57200</v>
      </c>
      <c r="I12" s="108">
        <f>IFERROR(IF(Arrear!I25="","",IF(Arrear!I25=0,"",Arrear!I25)),"")</f>
        <v>24024</v>
      </c>
      <c r="J12" s="108">
        <f>IFERROR(IF(Arrear!J25="","",IF(Arrear!J25=0,"",Arrear!J25)),"")</f>
        <v>5148</v>
      </c>
      <c r="K12" s="167">
        <f t="shared" si="1"/>
        <v>86372</v>
      </c>
      <c r="L12" s="108">
        <f>IFERROR(IF(Arrear!L25="","",IF(Arrear!L25=0,"",Arrear!L25)),"")</f>
        <v>2300</v>
      </c>
      <c r="M12" s="108">
        <f>IFERROR(IF(Arrear!M25="","",IF(Arrear!M25=0,"",Arrear!M25)),"")</f>
        <v>966</v>
      </c>
      <c r="N12" s="108">
        <f>IFERROR(IF(Arrear!N25="","",IF(Arrear!N25=0,"",Arrear!N25)),"")</f>
        <v>207</v>
      </c>
      <c r="O12" s="167">
        <f t="shared" si="2"/>
        <v>3473</v>
      </c>
      <c r="P12" s="108" t="str">
        <f>IFERROR(IF(Arrear!P25="","",Arrear!P25),"")</f>
        <v/>
      </c>
      <c r="Q12" s="108" t="str">
        <f>IFERROR(IF(Arrear!Q25="","",Arrear!Q25),"")</f>
        <v/>
      </c>
      <c r="R12" s="167" t="str">
        <f t="shared" si="3"/>
        <v/>
      </c>
      <c r="S12" s="108">
        <f>IFERROR(IF(Arrear!S25="","",Arrear!S25),"")</f>
        <v>875</v>
      </c>
      <c r="T12" s="108">
        <f>IFERROR(IF(Arrear!T25="","",Arrear!T25),"")</f>
        <v>875</v>
      </c>
      <c r="U12" s="167">
        <f t="shared" si="4"/>
        <v>0</v>
      </c>
      <c r="V12" s="108">
        <f>IFERROR(IF(Arrear!V25="","",Arrear!V25),"")</f>
        <v>0</v>
      </c>
      <c r="W12" s="108" t="str">
        <f>IFERROR(IF(Arrear!W25="","",Arrear!W25),"")</f>
        <v/>
      </c>
      <c r="X12" s="167">
        <f t="shared" si="5"/>
        <v>0</v>
      </c>
      <c r="Y12" s="119">
        <f t="shared" si="6"/>
        <v>0</v>
      </c>
      <c r="Z12" s="118">
        <f t="shared" si="7"/>
        <v>3473</v>
      </c>
      <c r="AA12" s="168" t="s">
        <v>208</v>
      </c>
    </row>
    <row r="13" spans="2:27" ht="23.1" customHeight="1">
      <c r="B13" s="108">
        <f>IFERROR(IF(Arrear!B26="","",IF(Arrear!B26=0,"",Arrear!B26)),"")</f>
        <v>4</v>
      </c>
      <c r="C13" s="110">
        <f>IFERROR(IF(Arrear!C26="","",IF(Arrear!C26=0,"",Arrear!C26)),"")</f>
        <v>45108</v>
      </c>
      <c r="D13" s="108">
        <f>IFERROR(IF(Arrear!D26="","",IF(Arrear!D26=0,"",Arrear!D26)),"")</f>
        <v>61300</v>
      </c>
      <c r="E13" s="108">
        <f>IFERROR(IF(Arrear!E26="","",IF(Arrear!E26=0,"",Arrear!E26)),"")</f>
        <v>28198</v>
      </c>
      <c r="F13" s="108">
        <f>IFERROR(IF(Arrear!F26="","",IF(Arrear!F26=0,"",Arrear!F26)),"")</f>
        <v>5517</v>
      </c>
      <c r="G13" s="167">
        <f t="shared" si="0"/>
        <v>95015</v>
      </c>
      <c r="H13" s="108">
        <f>IFERROR(IF(Arrear!H26="","",IF(Arrear!H26=0,"",Arrear!H26)),"")</f>
        <v>58900</v>
      </c>
      <c r="I13" s="108">
        <f>IFERROR(IF(Arrear!I26="","",IF(Arrear!I26=0,"",Arrear!I26)),"")</f>
        <v>27094</v>
      </c>
      <c r="J13" s="108">
        <f>IFERROR(IF(Arrear!J26="","",IF(Arrear!J26=0,"",Arrear!J26)),"")</f>
        <v>5301</v>
      </c>
      <c r="K13" s="167">
        <f t="shared" si="1"/>
        <v>91295</v>
      </c>
      <c r="L13" s="108">
        <f>IFERROR(IF(Arrear!L26="","",IF(Arrear!L26=0,"",Arrear!L26)),"")</f>
        <v>2400</v>
      </c>
      <c r="M13" s="108">
        <f>IFERROR(IF(Arrear!M26="","",IF(Arrear!M26=0,"",Arrear!M26)),"")</f>
        <v>1104</v>
      </c>
      <c r="N13" s="108">
        <f>IFERROR(IF(Arrear!N26="","",IF(Arrear!N26=0,"",Arrear!N26)),"")</f>
        <v>216</v>
      </c>
      <c r="O13" s="167">
        <f t="shared" si="2"/>
        <v>3720</v>
      </c>
      <c r="P13" s="108">
        <f>IFERROR(IF(Arrear!P26="","",Arrear!P26),"")</f>
        <v>2452</v>
      </c>
      <c r="Q13" s="108">
        <f>IFERROR(IF(Arrear!Q26="","",Arrear!Q26),"")</f>
        <v>2356</v>
      </c>
      <c r="R13" s="167">
        <f t="shared" si="3"/>
        <v>96</v>
      </c>
      <c r="S13" s="108">
        <f>IFERROR(IF(Arrear!S26="","",Arrear!S26),"")</f>
        <v>875</v>
      </c>
      <c r="T13" s="108">
        <f>IFERROR(IF(Arrear!T26="","",Arrear!T26),"")</f>
        <v>875</v>
      </c>
      <c r="U13" s="167">
        <f t="shared" si="4"/>
        <v>0</v>
      </c>
      <c r="V13" s="108">
        <f>IFERROR(IF(Arrear!V26="","",Arrear!V26),"")</f>
        <v>0</v>
      </c>
      <c r="W13" s="108" t="str">
        <f>IFERROR(IF(Arrear!W26="","",Arrear!W26),"")</f>
        <v/>
      </c>
      <c r="X13" s="167">
        <f t="shared" si="5"/>
        <v>0</v>
      </c>
      <c r="Y13" s="119">
        <f t="shared" si="6"/>
        <v>96</v>
      </c>
      <c r="Z13" s="118">
        <f t="shared" si="7"/>
        <v>3624</v>
      </c>
      <c r="AA13" s="168" t="s">
        <v>209</v>
      </c>
    </row>
    <row r="14" spans="2:27" ht="23.1" customHeight="1">
      <c r="B14" s="108">
        <f>IFERROR(IF(Arrear!B27="","",IF(Arrear!B27=0,"",Arrear!B27)),"")</f>
        <v>5</v>
      </c>
      <c r="C14" s="110">
        <f>IFERROR(IF(Arrear!C27="","",IF(Arrear!C27=0,"",Arrear!C27)),"")</f>
        <v>45139</v>
      </c>
      <c r="D14" s="108">
        <f>IFERROR(IF(Arrear!D27="","",IF(Arrear!D27=0,"",Arrear!D27)),"")</f>
        <v>61300</v>
      </c>
      <c r="E14" s="108">
        <f>IFERROR(IF(Arrear!E27="","",IF(Arrear!E27=0,"",Arrear!E27)),"")</f>
        <v>28198</v>
      </c>
      <c r="F14" s="108">
        <f>IFERROR(IF(Arrear!F27="","",IF(Arrear!F27=0,"",Arrear!F27)),"")</f>
        <v>5517</v>
      </c>
      <c r="G14" s="167">
        <f t="shared" si="0"/>
        <v>95015</v>
      </c>
      <c r="H14" s="108">
        <f>IFERROR(IF(Arrear!H27="","",IF(Arrear!H27=0,"",Arrear!H27)),"")</f>
        <v>58900</v>
      </c>
      <c r="I14" s="108">
        <f>IFERROR(IF(Arrear!I27="","",IF(Arrear!I27=0,"",Arrear!I27)),"")</f>
        <v>27094</v>
      </c>
      <c r="J14" s="108">
        <f>IFERROR(IF(Arrear!J27="","",IF(Arrear!J27=0,"",Arrear!J27)),"")</f>
        <v>5301</v>
      </c>
      <c r="K14" s="167">
        <f t="shared" si="1"/>
        <v>91295</v>
      </c>
      <c r="L14" s="108">
        <f>IFERROR(IF(Arrear!L27="","",IF(Arrear!L27=0,"",Arrear!L27)),"")</f>
        <v>2400</v>
      </c>
      <c r="M14" s="108">
        <f>IFERROR(IF(Arrear!M27="","",IF(Arrear!M27=0,"",Arrear!M27)),"")</f>
        <v>1104</v>
      </c>
      <c r="N14" s="108">
        <f>IFERROR(IF(Arrear!N27="","",IF(Arrear!N27=0,"",Arrear!N27)),"")</f>
        <v>216</v>
      </c>
      <c r="O14" s="167">
        <f t="shared" si="2"/>
        <v>3720</v>
      </c>
      <c r="P14" s="108">
        <f>IFERROR(IF(Arrear!P27="","",Arrear!P27),"")</f>
        <v>2452</v>
      </c>
      <c r="Q14" s="108">
        <f>IFERROR(IF(Arrear!Q27="","",Arrear!Q27),"")</f>
        <v>2356</v>
      </c>
      <c r="R14" s="167">
        <f t="shared" si="3"/>
        <v>96</v>
      </c>
      <c r="S14" s="108">
        <f>IFERROR(IF(Arrear!S27="","",Arrear!S27),"")</f>
        <v>875</v>
      </c>
      <c r="T14" s="108">
        <f>IFERROR(IF(Arrear!T27="","",Arrear!T27),"")</f>
        <v>875</v>
      </c>
      <c r="U14" s="167">
        <f t="shared" si="4"/>
        <v>0</v>
      </c>
      <c r="V14" s="108">
        <f>IFERROR(IF(Arrear!V27="","",Arrear!V27),"")</f>
        <v>0</v>
      </c>
      <c r="W14" s="108" t="str">
        <f>IFERROR(IF(Arrear!W27="","",Arrear!W27),"")</f>
        <v/>
      </c>
      <c r="X14" s="167">
        <f t="shared" si="5"/>
        <v>0</v>
      </c>
      <c r="Y14" s="119">
        <f t="shared" si="6"/>
        <v>96</v>
      </c>
      <c r="Z14" s="118">
        <f t="shared" si="7"/>
        <v>3624</v>
      </c>
      <c r="AA14" s="168" t="s">
        <v>210</v>
      </c>
    </row>
    <row r="15" spans="2:27" ht="23.1" customHeight="1">
      <c r="B15" s="108">
        <f>IFERROR(IF(Arrear!B28="","",IF(Arrear!B28=0,"",Arrear!B28)),"")</f>
        <v>6</v>
      </c>
      <c r="C15" s="110">
        <f>IFERROR(IF(Arrear!C28="","",IF(Arrear!C28=0,"",Arrear!C28)),"")</f>
        <v>45170</v>
      </c>
      <c r="D15" s="108">
        <f>IFERROR(IF(Arrear!D28="","",IF(Arrear!D28=0,"",Arrear!D28)),"")</f>
        <v>61300</v>
      </c>
      <c r="E15" s="108">
        <f>IFERROR(IF(Arrear!E28="","",IF(Arrear!E28=0,"",Arrear!E28)),"")</f>
        <v>28198</v>
      </c>
      <c r="F15" s="108">
        <f>IFERROR(IF(Arrear!F28="","",IF(Arrear!F28=0,"",Arrear!F28)),"")</f>
        <v>5517</v>
      </c>
      <c r="G15" s="167">
        <f t="shared" si="0"/>
        <v>95015</v>
      </c>
      <c r="H15" s="108">
        <f>IFERROR(IF(Arrear!H28="","",IF(Arrear!H28=0,"",Arrear!H28)),"")</f>
        <v>58900</v>
      </c>
      <c r="I15" s="108">
        <f>IFERROR(IF(Arrear!I28="","",IF(Arrear!I28=0,"",Arrear!I28)),"")</f>
        <v>27094</v>
      </c>
      <c r="J15" s="108">
        <f>IFERROR(IF(Arrear!J28="","",IF(Arrear!J28=0,"",Arrear!J28)),"")</f>
        <v>5301</v>
      </c>
      <c r="K15" s="167">
        <f t="shared" si="1"/>
        <v>91295</v>
      </c>
      <c r="L15" s="108">
        <f>IFERROR(IF(Arrear!L28="","",IF(Arrear!L28=0,"",Arrear!L28)),"")</f>
        <v>2400</v>
      </c>
      <c r="M15" s="108">
        <f>IFERROR(IF(Arrear!M28="","",IF(Arrear!M28=0,"",Arrear!M28)),"")</f>
        <v>1104</v>
      </c>
      <c r="N15" s="108">
        <f>IFERROR(IF(Arrear!N28="","",IF(Arrear!N28=0,"",Arrear!N28)),"")</f>
        <v>216</v>
      </c>
      <c r="O15" s="167">
        <f t="shared" si="2"/>
        <v>3720</v>
      </c>
      <c r="P15" s="108">
        <f>IFERROR(IF(Arrear!P28="","",Arrear!P28),"")</f>
        <v>2452</v>
      </c>
      <c r="Q15" s="108">
        <f>IFERROR(IF(Arrear!Q28="","",Arrear!Q28),"")</f>
        <v>2356</v>
      </c>
      <c r="R15" s="167">
        <f t="shared" si="3"/>
        <v>96</v>
      </c>
      <c r="S15" s="108">
        <f>IFERROR(IF(Arrear!S28="","",Arrear!S28),"")</f>
        <v>875</v>
      </c>
      <c r="T15" s="108">
        <f>IFERROR(IF(Arrear!T28="","",Arrear!T28),"")</f>
        <v>875</v>
      </c>
      <c r="U15" s="167">
        <f t="shared" si="4"/>
        <v>0</v>
      </c>
      <c r="V15" s="108">
        <f>IFERROR(IF(Arrear!V28="","",Arrear!V28),"")</f>
        <v>0</v>
      </c>
      <c r="W15" s="108" t="str">
        <f>IFERROR(IF(Arrear!W28="","",Arrear!W28),"")</f>
        <v/>
      </c>
      <c r="X15" s="167">
        <f t="shared" si="5"/>
        <v>0</v>
      </c>
      <c r="Y15" s="119">
        <f t="shared" si="6"/>
        <v>96</v>
      </c>
      <c r="Z15" s="118">
        <f t="shared" si="7"/>
        <v>3624</v>
      </c>
      <c r="AA15" s="168" t="s">
        <v>211</v>
      </c>
    </row>
    <row r="16" spans="2:27" ht="23.1" customHeight="1">
      <c r="B16" s="108">
        <f>IFERROR(IF(Arrear!B29="","",IF(Arrear!B29=0,"",Arrear!B29)),"")</f>
        <v>7</v>
      </c>
      <c r="C16" s="110">
        <f>IFERROR(IF(Arrear!C29="","",IF(Arrear!C29=0,"",Arrear!C29)),"")</f>
        <v>45200</v>
      </c>
      <c r="D16" s="108">
        <f>IFERROR(IF(Arrear!D29="","",IF(Arrear!D29=0,"",Arrear!D29)),"")</f>
        <v>61300</v>
      </c>
      <c r="E16" s="108">
        <f>IFERROR(IF(Arrear!E29="","",IF(Arrear!E29=0,"",Arrear!E29)),"")</f>
        <v>28198</v>
      </c>
      <c r="F16" s="108">
        <f>IFERROR(IF(Arrear!F29="","",IF(Arrear!F29=0,"",Arrear!F29)),"")</f>
        <v>5517</v>
      </c>
      <c r="G16" s="167">
        <f t="shared" si="0"/>
        <v>95015</v>
      </c>
      <c r="H16" s="108">
        <f>IFERROR(IF(Arrear!H29="","",IF(Arrear!H29=0,"",Arrear!H29)),"")</f>
        <v>58900</v>
      </c>
      <c r="I16" s="108">
        <f>IFERROR(IF(Arrear!I29="","",IF(Arrear!I29=0,"",Arrear!I29)),"")</f>
        <v>27094</v>
      </c>
      <c r="J16" s="108">
        <f>IFERROR(IF(Arrear!J29="","",IF(Arrear!J29=0,"",Arrear!J29)),"")</f>
        <v>5301</v>
      </c>
      <c r="K16" s="167">
        <f t="shared" si="1"/>
        <v>91295</v>
      </c>
      <c r="L16" s="108">
        <f>IFERROR(IF(Arrear!L29="","",IF(Arrear!L29=0,"",Arrear!L29)),"")</f>
        <v>2400</v>
      </c>
      <c r="M16" s="108">
        <f>IFERROR(IF(Arrear!M29="","",IF(Arrear!M29=0,"",Arrear!M29)),"")</f>
        <v>1104</v>
      </c>
      <c r="N16" s="108">
        <f>IFERROR(IF(Arrear!N29="","",IF(Arrear!N29=0,"",Arrear!N29)),"")</f>
        <v>216</v>
      </c>
      <c r="O16" s="167">
        <f t="shared" si="2"/>
        <v>3720</v>
      </c>
      <c r="P16" s="108">
        <f>IFERROR(IF(Arrear!P29="","",Arrear!P29),"")</f>
        <v>2452</v>
      </c>
      <c r="Q16" s="108">
        <f>IFERROR(IF(Arrear!Q29="","",Arrear!Q29),"")</f>
        <v>2356</v>
      </c>
      <c r="R16" s="167">
        <f t="shared" si="3"/>
        <v>96</v>
      </c>
      <c r="S16" s="108">
        <f>IFERROR(IF(Arrear!S29="","",Arrear!S29),"")</f>
        <v>875</v>
      </c>
      <c r="T16" s="108">
        <f>IFERROR(IF(Arrear!T29="","",Arrear!T29),"")</f>
        <v>875</v>
      </c>
      <c r="U16" s="167">
        <f t="shared" si="4"/>
        <v>0</v>
      </c>
      <c r="V16" s="108">
        <f>IFERROR(IF(Arrear!V29="","",Arrear!V29),"")</f>
        <v>0</v>
      </c>
      <c r="W16" s="108" t="str">
        <f>IFERROR(IF(Arrear!W29="","",Arrear!W29),"")</f>
        <v/>
      </c>
      <c r="X16" s="167">
        <f t="shared" si="5"/>
        <v>0</v>
      </c>
      <c r="Y16" s="119">
        <f t="shared" si="6"/>
        <v>96</v>
      </c>
      <c r="Z16" s="118">
        <f t="shared" si="7"/>
        <v>3624</v>
      </c>
      <c r="AA16" s="168" t="s">
        <v>212</v>
      </c>
    </row>
    <row r="17" spans="2:27" ht="23.1" customHeight="1">
      <c r="B17" s="108">
        <f>IFERROR(IF(Arrear!B30="","",IF(Arrear!B30=0,"",Arrear!B30)),"")</f>
        <v>8</v>
      </c>
      <c r="C17" s="110">
        <f>IFERROR(IF(Arrear!C30="","",IF(Arrear!C30=0,"",Arrear!C30)),"")</f>
        <v>45231</v>
      </c>
      <c r="D17" s="108">
        <f>IFERROR(IF(Arrear!D30="","",IF(Arrear!D30=0,"",Arrear!D30)),"")</f>
        <v>61300</v>
      </c>
      <c r="E17" s="108">
        <f>IFERROR(IF(Arrear!E30="","",IF(Arrear!E30=0,"",Arrear!E30)),"")</f>
        <v>28198</v>
      </c>
      <c r="F17" s="108">
        <f>IFERROR(IF(Arrear!F30="","",IF(Arrear!F30=0,"",Arrear!F30)),"")</f>
        <v>5517</v>
      </c>
      <c r="G17" s="167">
        <f t="shared" si="0"/>
        <v>95015</v>
      </c>
      <c r="H17" s="108">
        <f>IFERROR(IF(Arrear!H30="","",IF(Arrear!H30=0,"",Arrear!H30)),"")</f>
        <v>58900</v>
      </c>
      <c r="I17" s="108">
        <f>IFERROR(IF(Arrear!I30="","",IF(Arrear!I30=0,"",Arrear!I30)),"")</f>
        <v>27094</v>
      </c>
      <c r="J17" s="108">
        <f>IFERROR(IF(Arrear!J30="","",IF(Arrear!J30=0,"",Arrear!J30)),"")</f>
        <v>5301</v>
      </c>
      <c r="K17" s="167">
        <f t="shared" si="1"/>
        <v>91295</v>
      </c>
      <c r="L17" s="108">
        <f>IFERROR(IF(Arrear!L30="","",IF(Arrear!L30=0,"",Arrear!L30)),"")</f>
        <v>2400</v>
      </c>
      <c r="M17" s="108">
        <f>IFERROR(IF(Arrear!M30="","",IF(Arrear!M30=0,"",Arrear!M30)),"")</f>
        <v>1104</v>
      </c>
      <c r="N17" s="108">
        <f>IFERROR(IF(Arrear!N30="","",IF(Arrear!N30=0,"",Arrear!N30)),"")</f>
        <v>216</v>
      </c>
      <c r="O17" s="167">
        <f t="shared" si="2"/>
        <v>3720</v>
      </c>
      <c r="P17" s="108" t="str">
        <f>IFERROR(IF(Arrear!P30="","",Arrear!P30),"")</f>
        <v/>
      </c>
      <c r="Q17" s="108" t="str">
        <f>IFERROR(IF(Arrear!Q30="","",Arrear!Q30),"")</f>
        <v/>
      </c>
      <c r="R17" s="167" t="str">
        <f t="shared" si="3"/>
        <v/>
      </c>
      <c r="S17" s="108">
        <f>IFERROR(IF(Arrear!S30="","",Arrear!S30),"")</f>
        <v>875</v>
      </c>
      <c r="T17" s="108">
        <f>IFERROR(IF(Arrear!T30="","",Arrear!T30),"")</f>
        <v>875</v>
      </c>
      <c r="U17" s="167">
        <f t="shared" si="4"/>
        <v>0</v>
      </c>
      <c r="V17" s="108">
        <f>IFERROR(IF(Arrear!V30="","",Arrear!V30),"")</f>
        <v>0</v>
      </c>
      <c r="W17" s="108" t="str">
        <f>IFERROR(IF(Arrear!W30="","",Arrear!W30),"")</f>
        <v/>
      </c>
      <c r="X17" s="167">
        <f t="shared" si="5"/>
        <v>0</v>
      </c>
      <c r="Y17" s="119">
        <f t="shared" si="6"/>
        <v>0</v>
      </c>
      <c r="Z17" s="118">
        <f t="shared" si="7"/>
        <v>3720</v>
      </c>
      <c r="AA17" s="168" t="s">
        <v>213</v>
      </c>
    </row>
    <row r="18" spans="2:27" ht="23.1" customHeight="1">
      <c r="B18" s="108">
        <f>IFERROR(IF(Arrear!B31="","",IF(Arrear!B31=0,"",Arrear!B31)),"")</f>
        <v>9</v>
      </c>
      <c r="C18" s="110">
        <f>IFERROR(IF(Arrear!C31="","",IF(Arrear!C31=0,"",Arrear!C31)),"")</f>
        <v>45261</v>
      </c>
      <c r="D18" s="108">
        <f>IFERROR(IF(Arrear!D31="","",IF(Arrear!D31=0,"",Arrear!D31)),"")</f>
        <v>61300</v>
      </c>
      <c r="E18" s="108">
        <f>IFERROR(IF(Arrear!E31="","",IF(Arrear!E31=0,"",Arrear!E31)),"")</f>
        <v>28198</v>
      </c>
      <c r="F18" s="108">
        <f>IFERROR(IF(Arrear!F31="","",IF(Arrear!F31=0,"",Arrear!F31)),"")</f>
        <v>5517</v>
      </c>
      <c r="G18" s="167">
        <f t="shared" ref="G18:G23" si="8">IFERROR(IF(E18="","",IF(D18="","",SUM(D18:F18))),"")</f>
        <v>95015</v>
      </c>
      <c r="H18" s="108">
        <f>IFERROR(IF(Arrear!H31="","",IF(Arrear!H31=0,"",Arrear!H31)),"")</f>
        <v>58900</v>
      </c>
      <c r="I18" s="108">
        <f>IFERROR(IF(Arrear!I31="","",IF(Arrear!I31=0,"",Arrear!I31)),"")</f>
        <v>27094</v>
      </c>
      <c r="J18" s="108">
        <f>IFERROR(IF(Arrear!J31="","",IF(Arrear!J31=0,"",Arrear!J31)),"")</f>
        <v>5301</v>
      </c>
      <c r="K18" s="167">
        <f t="shared" ref="K18:K23" si="9">IFERROR(IF(H18="","",IF(I18="","",SUM(H18:J18))),"")</f>
        <v>91295</v>
      </c>
      <c r="L18" s="108">
        <f>IFERROR(IF(Arrear!L31="","",IF(Arrear!L31=0,"",Arrear!L31)),"")</f>
        <v>2400</v>
      </c>
      <c r="M18" s="108">
        <f>IFERROR(IF(Arrear!M31="","",IF(Arrear!M31=0,"",Arrear!M31)),"")</f>
        <v>1104</v>
      </c>
      <c r="N18" s="108">
        <f>IFERROR(IF(Arrear!N31="","",IF(Arrear!N31=0,"",Arrear!N31)),"")</f>
        <v>216</v>
      </c>
      <c r="O18" s="167">
        <f t="shared" ref="O18:O23" si="10">IFERROR(IF(L18="","",IF(M18="","",SUM(L18:N18))),"")</f>
        <v>3720</v>
      </c>
      <c r="P18" s="108" t="str">
        <f>IFERROR(IF(Arrear!P31="","",Arrear!P31),"")</f>
        <v/>
      </c>
      <c r="Q18" s="108" t="str">
        <f>IFERROR(IF(Arrear!Q31="","",Arrear!Q31),"")</f>
        <v/>
      </c>
      <c r="R18" s="167" t="str">
        <f t="shared" ref="R18:R23" si="11">IFERROR(IF(AND(P18="",Q18=""),"",IF(P18="",Q18,IF(Q18="",P18,SUM(P18-Q18)))),"")</f>
        <v/>
      </c>
      <c r="S18" s="108">
        <f>IFERROR(IF(Arrear!S31="","",Arrear!S31),"")</f>
        <v>875</v>
      </c>
      <c r="T18" s="108">
        <f>IFERROR(IF(Arrear!T31="","",Arrear!T31),"")</f>
        <v>875</v>
      </c>
      <c r="U18" s="167">
        <f t="shared" ref="U18:U23" si="12">IFERROR(IF(AND(S18="",T18=""),"",IF(S18="",T18,IF(T18="",S18,SUM(S18-T18)))),"")</f>
        <v>0</v>
      </c>
      <c r="V18" s="108">
        <f>IFERROR(IF(Arrear!V31="","",Arrear!V31),"")</f>
        <v>0</v>
      </c>
      <c r="W18" s="108" t="str">
        <f>IFERROR(IF(Arrear!W31="","",Arrear!W31),"")</f>
        <v/>
      </c>
      <c r="X18" s="167">
        <f t="shared" ref="X18:X23" si="13">IFERROR(IF(AND(V18="",W18=""),"",IF(V18="",W18,IF(W18="",V18,SUM(V18-W18)))),"")</f>
        <v>0</v>
      </c>
      <c r="Y18" s="119">
        <f t="shared" ref="Y18:Y23" si="14">IFERROR(IF(AND(R18="",U18="",X18=""),"",SUM(R18,U18,X18)),"")</f>
        <v>0</v>
      </c>
      <c r="Z18" s="118">
        <f t="shared" ref="Z18:Z23" si="15">IFERROR(IF(AND(O18="",Y18=""),"",IF(O18="",Y18,IF(Y18="",O18,SUM(O18-Y18)))),"")</f>
        <v>3720</v>
      </c>
      <c r="AA18" s="168" t="s">
        <v>215</v>
      </c>
    </row>
    <row r="19" spans="2:27" ht="23.1" customHeight="1">
      <c r="B19" s="108">
        <f>IFERROR(IF(Arrear!B32="","",IF(Arrear!B32=0,"",Arrear!B32)),"")</f>
        <v>10</v>
      </c>
      <c r="C19" s="110">
        <f>IFERROR(IF(Arrear!C32="","",IF(Arrear!C32=0,"",Arrear!C32)),"")</f>
        <v>45292</v>
      </c>
      <c r="D19" s="108">
        <f>IFERROR(IF(Arrear!D32="","",IF(Arrear!D32=0,"",Arrear!D32)),"")</f>
        <v>61300</v>
      </c>
      <c r="E19" s="108">
        <f>IFERROR(IF(Arrear!E32="","",IF(Arrear!E32=0,"",Arrear!E32)),"")</f>
        <v>30650</v>
      </c>
      <c r="F19" s="108">
        <f>IFERROR(IF(Arrear!F32="","",IF(Arrear!F32=0,"",Arrear!F32)),"")</f>
        <v>5517</v>
      </c>
      <c r="G19" s="167">
        <f t="shared" si="8"/>
        <v>97467</v>
      </c>
      <c r="H19" s="108">
        <f>IFERROR(IF(Arrear!H32="","",IF(Arrear!H32=0,"",Arrear!H32)),"")</f>
        <v>58900</v>
      </c>
      <c r="I19" s="108">
        <f>IFERROR(IF(Arrear!I32="","",IF(Arrear!I32=0,"",Arrear!I32)),"")</f>
        <v>29450</v>
      </c>
      <c r="J19" s="108">
        <f>IFERROR(IF(Arrear!J32="","",IF(Arrear!J32=0,"",Arrear!J32)),"")</f>
        <v>5301</v>
      </c>
      <c r="K19" s="167">
        <f t="shared" si="9"/>
        <v>93651</v>
      </c>
      <c r="L19" s="108">
        <f>IFERROR(IF(Arrear!L32="","",IF(Arrear!L32=0,"",Arrear!L32)),"")</f>
        <v>2400</v>
      </c>
      <c r="M19" s="108">
        <f>IFERROR(IF(Arrear!M32="","",IF(Arrear!M32=0,"",Arrear!M32)),"")</f>
        <v>1200</v>
      </c>
      <c r="N19" s="108">
        <f>IFERROR(IF(Arrear!N32="","",IF(Arrear!N32=0,"",Arrear!N32)),"")</f>
        <v>216</v>
      </c>
      <c r="O19" s="167">
        <f t="shared" si="10"/>
        <v>3816</v>
      </c>
      <c r="P19" s="108">
        <f>IFERROR(IF(Arrear!P32="","",Arrear!P32),"")</f>
        <v>2452</v>
      </c>
      <c r="Q19" s="108">
        <f>IFERROR(IF(Arrear!Q32="","",Arrear!Q32),"")</f>
        <v>2356</v>
      </c>
      <c r="R19" s="167">
        <f t="shared" si="11"/>
        <v>96</v>
      </c>
      <c r="S19" s="108">
        <f>IFERROR(IF(Arrear!S32="","",Arrear!S32),"")</f>
        <v>875</v>
      </c>
      <c r="T19" s="108">
        <f>IFERROR(IF(Arrear!T32="","",Arrear!T32),"")</f>
        <v>875</v>
      </c>
      <c r="U19" s="167">
        <f t="shared" si="12"/>
        <v>0</v>
      </c>
      <c r="V19" s="108">
        <f>IFERROR(IF(Arrear!V32="","",Arrear!V32),"")</f>
        <v>0</v>
      </c>
      <c r="W19" s="108" t="str">
        <f>IFERROR(IF(Arrear!W32="","",Arrear!W32),"")</f>
        <v/>
      </c>
      <c r="X19" s="167">
        <f t="shared" si="13"/>
        <v>0</v>
      </c>
      <c r="Y19" s="119">
        <f t="shared" si="14"/>
        <v>96</v>
      </c>
      <c r="Z19" s="118">
        <f t="shared" si="15"/>
        <v>3720</v>
      </c>
      <c r="AA19" s="168" t="s">
        <v>219</v>
      </c>
    </row>
    <row r="20" spans="2:27" ht="23.1" customHeight="1">
      <c r="B20" s="108">
        <f>IFERROR(IF(Arrear!B33="","",IF(Arrear!B33=0,"",Arrear!B33)),"")</f>
        <v>11</v>
      </c>
      <c r="C20" s="110">
        <f>IFERROR(IF(Arrear!C33="","",IF(Arrear!C33=0,"",Arrear!C33)),"")</f>
        <v>45323</v>
      </c>
      <c r="D20" s="108">
        <f>IFERROR(IF(Arrear!D33="","",IF(Arrear!D33=0,"",Arrear!D33)),"")</f>
        <v>61300</v>
      </c>
      <c r="E20" s="108">
        <f>IFERROR(IF(Arrear!E33="","",IF(Arrear!E33=0,"",Arrear!E33)),"")</f>
        <v>30650</v>
      </c>
      <c r="F20" s="108">
        <f>IFERROR(IF(Arrear!F33="","",IF(Arrear!F33=0,"",Arrear!F33)),"")</f>
        <v>5517</v>
      </c>
      <c r="G20" s="167">
        <f t="shared" si="8"/>
        <v>97467</v>
      </c>
      <c r="H20" s="108">
        <f>IFERROR(IF(Arrear!H33="","",IF(Arrear!H33=0,"",Arrear!H33)),"")</f>
        <v>58900</v>
      </c>
      <c r="I20" s="108">
        <f>IFERROR(IF(Arrear!I33="","",IF(Arrear!I33=0,"",Arrear!I33)),"")</f>
        <v>29450</v>
      </c>
      <c r="J20" s="108">
        <f>IFERROR(IF(Arrear!J33="","",IF(Arrear!J33=0,"",Arrear!J33)),"")</f>
        <v>5301</v>
      </c>
      <c r="K20" s="167">
        <f t="shared" si="9"/>
        <v>93651</v>
      </c>
      <c r="L20" s="108">
        <f>IFERROR(IF(Arrear!L33="","",IF(Arrear!L33=0,"",Arrear!L33)),"")</f>
        <v>2400</v>
      </c>
      <c r="M20" s="108">
        <f>IFERROR(IF(Arrear!M33="","",IF(Arrear!M33=0,"",Arrear!M33)),"")</f>
        <v>1200</v>
      </c>
      <c r="N20" s="108">
        <f>IFERROR(IF(Arrear!N33="","",IF(Arrear!N33=0,"",Arrear!N33)),"")</f>
        <v>216</v>
      </c>
      <c r="O20" s="167">
        <f t="shared" si="10"/>
        <v>3816</v>
      </c>
      <c r="P20" s="108">
        <f>IFERROR(IF(Arrear!P33="","",Arrear!P33),"")</f>
        <v>2452</v>
      </c>
      <c r="Q20" s="108">
        <f>IFERROR(IF(Arrear!Q33="","",Arrear!Q33),"")</f>
        <v>2356</v>
      </c>
      <c r="R20" s="167">
        <f t="shared" si="11"/>
        <v>96</v>
      </c>
      <c r="S20" s="108">
        <f>IFERROR(IF(Arrear!S33="","",Arrear!S33),"")</f>
        <v>875</v>
      </c>
      <c r="T20" s="108">
        <f>IFERROR(IF(Arrear!T33="","",Arrear!T33),"")</f>
        <v>875</v>
      </c>
      <c r="U20" s="167">
        <f t="shared" si="12"/>
        <v>0</v>
      </c>
      <c r="V20" s="108">
        <f>IFERROR(IF(Arrear!V33="","",Arrear!V33),"")</f>
        <v>0</v>
      </c>
      <c r="W20" s="108" t="str">
        <f>IFERROR(IF(Arrear!W33="","",Arrear!W33),"")</f>
        <v/>
      </c>
      <c r="X20" s="167">
        <f t="shared" si="13"/>
        <v>0</v>
      </c>
      <c r="Y20" s="119">
        <f t="shared" si="14"/>
        <v>96</v>
      </c>
      <c r="Z20" s="118">
        <f t="shared" si="15"/>
        <v>3720</v>
      </c>
      <c r="AA20" s="168" t="s">
        <v>220</v>
      </c>
    </row>
    <row r="21" spans="2:27" ht="23.1" customHeight="1">
      <c r="B21" s="108">
        <f>IFERROR(IF(Arrear!B34="","",IF(Arrear!B34=0,"",Arrear!B34)),"")</f>
        <v>12</v>
      </c>
      <c r="C21" s="110">
        <f>IFERROR(IF(Arrear!C34="","",IF(Arrear!C34=0,"",Arrear!C34)),"")</f>
        <v>45352</v>
      </c>
      <c r="D21" s="108">
        <f>IFERROR(IF(Arrear!D34="","",IF(Arrear!D34=0,"",Arrear!D34)),"")</f>
        <v>61300</v>
      </c>
      <c r="E21" s="108">
        <f>IFERROR(IF(Arrear!E34="","",IF(Arrear!E34=0,"",Arrear!E34)),"")</f>
        <v>30650</v>
      </c>
      <c r="F21" s="108">
        <f>IFERROR(IF(Arrear!F34="","",IF(Arrear!F34=0,"",Arrear!F34)),"")</f>
        <v>5517</v>
      </c>
      <c r="G21" s="167">
        <f t="shared" si="8"/>
        <v>97467</v>
      </c>
      <c r="H21" s="108">
        <f>IFERROR(IF(Arrear!H34="","",IF(Arrear!H34=0,"",Arrear!H34)),"")</f>
        <v>58900</v>
      </c>
      <c r="I21" s="108">
        <f>IFERROR(IF(Arrear!I34="","",IF(Arrear!I34=0,"",Arrear!I34)),"")</f>
        <v>29450</v>
      </c>
      <c r="J21" s="108">
        <f>IFERROR(IF(Arrear!J34="","",IF(Arrear!J34=0,"",Arrear!J34)),"")</f>
        <v>5301</v>
      </c>
      <c r="K21" s="167">
        <f t="shared" si="9"/>
        <v>93651</v>
      </c>
      <c r="L21" s="108">
        <f>IFERROR(IF(Arrear!L34="","",IF(Arrear!L34=0,"",Arrear!L34)),"")</f>
        <v>2400</v>
      </c>
      <c r="M21" s="108">
        <f>IFERROR(IF(Arrear!M34="","",IF(Arrear!M34=0,"",Arrear!M34)),"")</f>
        <v>1200</v>
      </c>
      <c r="N21" s="108">
        <f>IFERROR(IF(Arrear!N34="","",IF(Arrear!N34=0,"",Arrear!N34)),"")</f>
        <v>216</v>
      </c>
      <c r="O21" s="167">
        <f t="shared" si="10"/>
        <v>3816</v>
      </c>
      <c r="P21" s="108" t="str">
        <f>IFERROR(IF(Arrear!P34="","",Arrear!P34),"")</f>
        <v/>
      </c>
      <c r="Q21" s="108" t="str">
        <f>IFERROR(IF(Arrear!Q34="","",Arrear!Q34),"")</f>
        <v/>
      </c>
      <c r="R21" s="167" t="str">
        <f t="shared" si="11"/>
        <v/>
      </c>
      <c r="S21" s="108">
        <f>IFERROR(IF(Arrear!S34="","",Arrear!S34),"")</f>
        <v>875</v>
      </c>
      <c r="T21" s="108">
        <f>IFERROR(IF(Arrear!T34="","",Arrear!T34),"")</f>
        <v>875</v>
      </c>
      <c r="U21" s="167">
        <f t="shared" si="12"/>
        <v>0</v>
      </c>
      <c r="V21" s="108">
        <f>IFERROR(IF(Arrear!V34="","",Arrear!V34),"")</f>
        <v>0</v>
      </c>
      <c r="W21" s="108" t="str">
        <f>IFERROR(IF(Arrear!W34="","",Arrear!W34),"")</f>
        <v/>
      </c>
      <c r="X21" s="167">
        <f t="shared" si="13"/>
        <v>0</v>
      </c>
      <c r="Y21" s="119">
        <f t="shared" si="14"/>
        <v>0</v>
      </c>
      <c r="Z21" s="118">
        <f t="shared" si="15"/>
        <v>3816</v>
      </c>
      <c r="AA21" s="168" t="s">
        <v>221</v>
      </c>
    </row>
    <row r="22" spans="2:27" ht="23.1" customHeight="1">
      <c r="B22" s="108">
        <f>IFERROR(IF(Arrear!B35="","",IF(Arrear!B35=0,"",Arrear!B35)),"")</f>
        <v>13</v>
      </c>
      <c r="C22" s="110">
        <f>IFERROR(IF(Arrear!C35="","",IF(Arrear!C35=0,"",Arrear!C35)),"")</f>
        <v>45383</v>
      </c>
      <c r="D22" s="108">
        <f>IFERROR(IF(Arrear!D35="","",IF(Arrear!D35=0,"",Arrear!D35)),"")</f>
        <v>61300</v>
      </c>
      <c r="E22" s="108">
        <f>IFERROR(IF(Arrear!E35="","",IF(Arrear!E35=0,"",Arrear!E35)),"")</f>
        <v>30650</v>
      </c>
      <c r="F22" s="108">
        <f>IFERROR(IF(Arrear!F35="","",IF(Arrear!F35=0,"",Arrear!F35)),"")</f>
        <v>5517</v>
      </c>
      <c r="G22" s="167">
        <f t="shared" si="8"/>
        <v>97467</v>
      </c>
      <c r="H22" s="108">
        <f>IFERROR(IF(Arrear!H35="","",IF(Arrear!H35=0,"",Arrear!H35)),"")</f>
        <v>58900</v>
      </c>
      <c r="I22" s="108">
        <f>IFERROR(IF(Arrear!I35="","",IF(Arrear!I35=0,"",Arrear!I35)),"")</f>
        <v>29450</v>
      </c>
      <c r="J22" s="108">
        <f>IFERROR(IF(Arrear!J35="","",IF(Arrear!J35=0,"",Arrear!J35)),"")</f>
        <v>5301</v>
      </c>
      <c r="K22" s="167">
        <f t="shared" si="9"/>
        <v>93651</v>
      </c>
      <c r="L22" s="108">
        <f>IFERROR(IF(Arrear!L35="","",IF(Arrear!L35=0,"",Arrear!L35)),"")</f>
        <v>2400</v>
      </c>
      <c r="M22" s="108">
        <f>IFERROR(IF(Arrear!M35="","",IF(Arrear!M35=0,"",Arrear!M35)),"")</f>
        <v>1200</v>
      </c>
      <c r="N22" s="108">
        <f>IFERROR(IF(Arrear!N35="","",IF(Arrear!N35=0,"",Arrear!N35)),"")</f>
        <v>216</v>
      </c>
      <c r="O22" s="167">
        <f t="shared" si="10"/>
        <v>3816</v>
      </c>
      <c r="P22" s="108" t="str">
        <f>IFERROR(IF(Arrear!P35="","",Arrear!P35),"")</f>
        <v/>
      </c>
      <c r="Q22" s="108" t="str">
        <f>IFERROR(IF(Arrear!Q35="","",Arrear!Q35),"")</f>
        <v/>
      </c>
      <c r="R22" s="167" t="str">
        <f t="shared" si="11"/>
        <v/>
      </c>
      <c r="S22" s="108">
        <f>IFERROR(IF(Arrear!S35="","",Arrear!S35),"")</f>
        <v>875</v>
      </c>
      <c r="T22" s="108">
        <f>IFERROR(IF(Arrear!T35="","",Arrear!T35),"")</f>
        <v>875</v>
      </c>
      <c r="U22" s="167">
        <f t="shared" si="12"/>
        <v>0</v>
      </c>
      <c r="V22" s="108">
        <f>IFERROR(IF(Arrear!V35="","",Arrear!V35),"")</f>
        <v>0</v>
      </c>
      <c r="W22" s="108" t="str">
        <f>IFERROR(IF(Arrear!W35="","",Arrear!W35),"")</f>
        <v/>
      </c>
      <c r="X22" s="167">
        <f t="shared" si="13"/>
        <v>0</v>
      </c>
      <c r="Y22" s="119">
        <f t="shared" si="14"/>
        <v>0</v>
      </c>
      <c r="Z22" s="118">
        <f t="shared" si="15"/>
        <v>3816</v>
      </c>
      <c r="AA22" s="168" t="s">
        <v>222</v>
      </c>
    </row>
    <row r="23" spans="2:27" ht="23.1" customHeight="1">
      <c r="B23" s="108">
        <f>IFERROR(IF(Arrear!B36="","",IF(Arrear!B36=0,"",Arrear!B36)),"")</f>
        <v>14</v>
      </c>
      <c r="C23" s="110">
        <f>IFERROR(IF(Arrear!C36="","",IF(Arrear!C36=0,"",Arrear!C36)),"")</f>
        <v>45413</v>
      </c>
      <c r="D23" s="108">
        <f>IFERROR(IF(Arrear!D36="","",IF(Arrear!D36=0,"",Arrear!D36)),"")</f>
        <v>61300</v>
      </c>
      <c r="E23" s="108">
        <f>IFERROR(IF(Arrear!E36="","",IF(Arrear!E36=0,"",Arrear!E36)),"")</f>
        <v>30650</v>
      </c>
      <c r="F23" s="108">
        <f>IFERROR(IF(Arrear!F36="","",IF(Arrear!F36=0,"",Arrear!F36)),"")</f>
        <v>5517</v>
      </c>
      <c r="G23" s="167">
        <f t="shared" si="8"/>
        <v>97467</v>
      </c>
      <c r="H23" s="108">
        <f>IFERROR(IF(Arrear!H36="","",IF(Arrear!H36=0,"",Arrear!H36)),"")</f>
        <v>58900</v>
      </c>
      <c r="I23" s="108">
        <f>IFERROR(IF(Arrear!I36="","",IF(Arrear!I36=0,"",Arrear!I36)),"")</f>
        <v>29450</v>
      </c>
      <c r="J23" s="108">
        <f>IFERROR(IF(Arrear!J36="","",IF(Arrear!J36=0,"",Arrear!J36)),"")</f>
        <v>5301</v>
      </c>
      <c r="K23" s="167">
        <f t="shared" si="9"/>
        <v>93651</v>
      </c>
      <c r="L23" s="108">
        <f>IFERROR(IF(Arrear!L36="","",IF(Arrear!L36=0,"",Arrear!L36)),"")</f>
        <v>2400</v>
      </c>
      <c r="M23" s="108">
        <f>IFERROR(IF(Arrear!M36="","",IF(Arrear!M36=0,"",Arrear!M36)),"")</f>
        <v>1200</v>
      </c>
      <c r="N23" s="108">
        <f>IFERROR(IF(Arrear!N36="","",IF(Arrear!N36=0,"",Arrear!N36)),"")</f>
        <v>216</v>
      </c>
      <c r="O23" s="167">
        <f t="shared" si="10"/>
        <v>3816</v>
      </c>
      <c r="P23" s="108" t="str">
        <f>IFERROR(IF(Arrear!P36="","",Arrear!P36),"")</f>
        <v/>
      </c>
      <c r="Q23" s="108" t="str">
        <f>IFERROR(IF(Arrear!Q36="","",Arrear!Q36),"")</f>
        <v/>
      </c>
      <c r="R23" s="167" t="str">
        <f t="shared" si="11"/>
        <v/>
      </c>
      <c r="S23" s="108">
        <f>IFERROR(IF(Arrear!S36="","",Arrear!S36),"")</f>
        <v>875</v>
      </c>
      <c r="T23" s="108">
        <f>IFERROR(IF(Arrear!T36="","",Arrear!T36),"")</f>
        <v>875</v>
      </c>
      <c r="U23" s="167">
        <f t="shared" si="12"/>
        <v>0</v>
      </c>
      <c r="V23" s="108">
        <f>IFERROR(IF(Arrear!V36="","",Arrear!V36),"")</f>
        <v>0</v>
      </c>
      <c r="W23" s="108" t="str">
        <f>IFERROR(IF(Arrear!W36="","",Arrear!W36),"")</f>
        <v/>
      </c>
      <c r="X23" s="167">
        <f t="shared" si="13"/>
        <v>0</v>
      </c>
      <c r="Y23" s="119">
        <f t="shared" si="14"/>
        <v>0</v>
      </c>
      <c r="Z23" s="118">
        <f t="shared" si="15"/>
        <v>3816</v>
      </c>
      <c r="AA23" s="168" t="s">
        <v>223</v>
      </c>
    </row>
    <row r="24" spans="2:27" ht="23.1" customHeight="1">
      <c r="B24" s="108">
        <f>IFERROR(IF(Arrear!B37="","",IF(Arrear!B37=0,"",Arrear!B37)),"")</f>
        <v>15</v>
      </c>
      <c r="C24" s="110">
        <f>IFERROR(IF(Arrear!C37="","",IF(Arrear!C37=0,"",Arrear!C37)),"")</f>
        <v>45444</v>
      </c>
      <c r="D24" s="108">
        <f>IFERROR(IF(Arrear!D37="","",IF(Arrear!D37=0,"",Arrear!D37)),"")</f>
        <v>61300</v>
      </c>
      <c r="E24" s="108">
        <f>IFERROR(IF(Arrear!E37="","",IF(Arrear!E37=0,"",Arrear!E37)),"")</f>
        <v>30650</v>
      </c>
      <c r="F24" s="108">
        <f>IFERROR(IF(Arrear!F37="","",IF(Arrear!F37=0,"",Arrear!F37)),"")</f>
        <v>5517</v>
      </c>
      <c r="G24" s="167">
        <f t="shared" ref="G24:G31" si="16">IFERROR(IF(E24="","",IF(D24="","",SUM(D24:F24))),"")</f>
        <v>97467</v>
      </c>
      <c r="H24" s="108">
        <f>IFERROR(IF(Arrear!H37="","",IF(Arrear!H37=0,"",Arrear!H37)),"")</f>
        <v>58900</v>
      </c>
      <c r="I24" s="108">
        <f>IFERROR(IF(Arrear!I37="","",IF(Arrear!I37=0,"",Arrear!I37)),"")</f>
        <v>29450</v>
      </c>
      <c r="J24" s="108">
        <f>IFERROR(IF(Arrear!J37="","",IF(Arrear!J37=0,"",Arrear!J37)),"")</f>
        <v>5301</v>
      </c>
      <c r="K24" s="167">
        <f t="shared" ref="K24:K31" si="17">IFERROR(IF(H24="","",IF(I24="","",SUM(H24:J24))),"")</f>
        <v>93651</v>
      </c>
      <c r="L24" s="108">
        <f>IFERROR(IF(Arrear!L37="","",IF(Arrear!L37=0,"",Arrear!L37)),"")</f>
        <v>2400</v>
      </c>
      <c r="M24" s="108">
        <f>IFERROR(IF(Arrear!M37="","",IF(Arrear!M37=0,"",Arrear!M37)),"")</f>
        <v>1200</v>
      </c>
      <c r="N24" s="108">
        <f>IFERROR(IF(Arrear!N37="","",IF(Arrear!N37=0,"",Arrear!N37)),"")</f>
        <v>216</v>
      </c>
      <c r="O24" s="167">
        <f t="shared" ref="O24:O31" si="18">IFERROR(IF(L24="","",IF(M24="","",SUM(L24:N24))),"")</f>
        <v>3816</v>
      </c>
      <c r="P24" s="108" t="str">
        <f>IFERROR(IF(Arrear!P37="","",Arrear!P37),"")</f>
        <v/>
      </c>
      <c r="Q24" s="108" t="str">
        <f>IFERROR(IF(Arrear!Q37="","",Arrear!Q37),"")</f>
        <v/>
      </c>
      <c r="R24" s="167" t="str">
        <f t="shared" ref="R24:R31" si="19">IFERROR(IF(AND(P24="",Q24=""),"",IF(P24="",Q24,IF(Q24="",P24,SUM(P24-Q24)))),"")</f>
        <v/>
      </c>
      <c r="S24" s="108">
        <f>IFERROR(IF(Arrear!S37="","",Arrear!S37),"")</f>
        <v>875</v>
      </c>
      <c r="T24" s="108">
        <f>IFERROR(IF(Arrear!T37="","",Arrear!T37),"")</f>
        <v>875</v>
      </c>
      <c r="U24" s="167">
        <f t="shared" ref="U24:U31" si="20">IFERROR(IF(AND(S24="",T24=""),"",IF(S24="",T24,IF(T24="",S24,SUM(S24-T24)))),"")</f>
        <v>0</v>
      </c>
      <c r="V24" s="108">
        <f>IFERROR(IF(Arrear!V37="","",Arrear!V37),"")</f>
        <v>0</v>
      </c>
      <c r="W24" s="108" t="str">
        <f>IFERROR(IF(Arrear!W37="","",Arrear!W37),"")</f>
        <v/>
      </c>
      <c r="X24" s="167">
        <f t="shared" ref="X24:X31" si="21">IFERROR(IF(AND(V24="",W24=""),"",IF(V24="",W24,IF(W24="",V24,SUM(V24-W24)))),"")</f>
        <v>0</v>
      </c>
      <c r="Y24" s="119">
        <f t="shared" ref="Y24:Y31" si="22">IFERROR(IF(AND(R24="",U24="",X24=""),"",SUM(R24,U24,X24)),"")</f>
        <v>0</v>
      </c>
      <c r="Z24" s="118">
        <f t="shared" ref="Z24:Z31" si="23">IFERROR(IF(AND(O24="",Y24=""),"",IF(O24="",Y24,IF(Y24="",O24,SUM(O24-Y24)))),"")</f>
        <v>3816</v>
      </c>
      <c r="AA24" s="168" t="s">
        <v>224</v>
      </c>
    </row>
    <row r="25" spans="2:27" ht="23.1" customHeight="1">
      <c r="B25" s="108">
        <f>IFERROR(IF(Arrear!B38="","",IF(Arrear!B38=0,"",Arrear!B38)),"")</f>
        <v>16</v>
      </c>
      <c r="C25" s="110">
        <f>IFERROR(IF(Arrear!C38="","",IF(Arrear!C38=0,"",Arrear!C38)),"")</f>
        <v>45474</v>
      </c>
      <c r="D25" s="108">
        <f>IFERROR(IF(Arrear!D38="","",IF(Arrear!D38=0,"",Arrear!D38)),"")</f>
        <v>63100</v>
      </c>
      <c r="E25" s="108">
        <f>IFERROR(IF(Arrear!E38="","",IF(Arrear!E38=0,"",Arrear!E38)),"")</f>
        <v>33443</v>
      </c>
      <c r="F25" s="108">
        <f>IFERROR(IF(Arrear!F38="","",IF(Arrear!F38=0,"",Arrear!F38)),"")</f>
        <v>5679</v>
      </c>
      <c r="G25" s="167">
        <f t="shared" si="16"/>
        <v>102222</v>
      </c>
      <c r="H25" s="108">
        <f>IFERROR(IF(Arrear!H38="","",IF(Arrear!H38=0,"",Arrear!H38)),"")</f>
        <v>60700</v>
      </c>
      <c r="I25" s="108">
        <f>IFERROR(IF(Arrear!I38="","",IF(Arrear!I38=0,"",Arrear!I38)),"")</f>
        <v>32171</v>
      </c>
      <c r="J25" s="108">
        <f>IFERROR(IF(Arrear!J38="","",IF(Arrear!J38=0,"",Arrear!J38)),"")</f>
        <v>5463</v>
      </c>
      <c r="K25" s="167">
        <f t="shared" si="17"/>
        <v>98334</v>
      </c>
      <c r="L25" s="108">
        <f>IFERROR(IF(Arrear!L38="","",IF(Arrear!L38=0,"",Arrear!L38)),"")</f>
        <v>2400</v>
      </c>
      <c r="M25" s="108">
        <f>IFERROR(IF(Arrear!M38="","",IF(Arrear!M38=0,"",Arrear!M38)),"")</f>
        <v>1272</v>
      </c>
      <c r="N25" s="108">
        <f>IFERROR(IF(Arrear!N38="","",IF(Arrear!N38=0,"",Arrear!N38)),"")</f>
        <v>216</v>
      </c>
      <c r="O25" s="167">
        <f t="shared" si="18"/>
        <v>3888</v>
      </c>
      <c r="P25" s="108">
        <f>IFERROR(IF(Arrear!P38="","",Arrear!P38),"")</f>
        <v>1893</v>
      </c>
      <c r="Q25" s="108">
        <f>IFERROR(IF(Arrear!Q38="","",Arrear!Q38),"")</f>
        <v>1821</v>
      </c>
      <c r="R25" s="167">
        <f t="shared" si="19"/>
        <v>72</v>
      </c>
      <c r="S25" s="108">
        <f>IFERROR(IF(Arrear!S38="","",Arrear!S38),"")</f>
        <v>875</v>
      </c>
      <c r="T25" s="108">
        <f>IFERROR(IF(Arrear!T38="","",Arrear!T38),"")</f>
        <v>875</v>
      </c>
      <c r="U25" s="167">
        <f t="shared" si="20"/>
        <v>0</v>
      </c>
      <c r="V25" s="108">
        <f>IFERROR(IF(Arrear!V38="","",Arrear!V38),"")</f>
        <v>0</v>
      </c>
      <c r="W25" s="108" t="str">
        <f>IFERROR(IF(Arrear!W38="","",Arrear!W38),"")</f>
        <v/>
      </c>
      <c r="X25" s="167">
        <f t="shared" si="21"/>
        <v>0</v>
      </c>
      <c r="Y25" s="119">
        <f t="shared" si="22"/>
        <v>72</v>
      </c>
      <c r="Z25" s="118">
        <f t="shared" si="23"/>
        <v>3816</v>
      </c>
      <c r="AA25" s="168" t="s">
        <v>225</v>
      </c>
    </row>
    <row r="26" spans="2:27" ht="23.1" customHeight="1">
      <c r="B26" s="108">
        <f>IFERROR(IF(Arrear!B39="","",IF(Arrear!B39=0,"",Arrear!B39)),"")</f>
        <v>17</v>
      </c>
      <c r="C26" s="110">
        <f>IFERROR(IF(Arrear!C39="","",IF(Arrear!C39=0,"",Arrear!C39)),"")</f>
        <v>45505</v>
      </c>
      <c r="D26" s="108">
        <f>IFERROR(IF(Arrear!D39="","",IF(Arrear!D39=0,"",Arrear!D39)),"")</f>
        <v>63100</v>
      </c>
      <c r="E26" s="108">
        <f>IFERROR(IF(Arrear!E39="","",IF(Arrear!E39=0,"",Arrear!E39)),"")</f>
        <v>33443</v>
      </c>
      <c r="F26" s="108">
        <f>IFERROR(IF(Arrear!F39="","",IF(Arrear!F39=0,"",Arrear!F39)),"")</f>
        <v>5679</v>
      </c>
      <c r="G26" s="167">
        <f t="shared" si="16"/>
        <v>102222</v>
      </c>
      <c r="H26" s="108">
        <f>IFERROR(IF(Arrear!H39="","",IF(Arrear!H39=0,"",Arrear!H39)),"")</f>
        <v>60700</v>
      </c>
      <c r="I26" s="108">
        <f>IFERROR(IF(Arrear!I39="","",IF(Arrear!I39=0,"",Arrear!I39)),"")</f>
        <v>32171</v>
      </c>
      <c r="J26" s="108">
        <f>IFERROR(IF(Arrear!J39="","",IF(Arrear!J39=0,"",Arrear!J39)),"")</f>
        <v>5463</v>
      </c>
      <c r="K26" s="167">
        <f t="shared" si="17"/>
        <v>98334</v>
      </c>
      <c r="L26" s="108">
        <f>IFERROR(IF(Arrear!L39="","",IF(Arrear!L39=0,"",Arrear!L39)),"")</f>
        <v>2400</v>
      </c>
      <c r="M26" s="108">
        <f>IFERROR(IF(Arrear!M39="","",IF(Arrear!M39=0,"",Arrear!M39)),"")</f>
        <v>1272</v>
      </c>
      <c r="N26" s="108">
        <f>IFERROR(IF(Arrear!N39="","",IF(Arrear!N39=0,"",Arrear!N39)),"")</f>
        <v>216</v>
      </c>
      <c r="O26" s="167">
        <f t="shared" si="18"/>
        <v>3888</v>
      </c>
      <c r="P26" s="108">
        <f>IFERROR(IF(Arrear!P39="","",Arrear!P39),"")</f>
        <v>1893</v>
      </c>
      <c r="Q26" s="108">
        <f>IFERROR(IF(Arrear!Q39="","",Arrear!Q39),"")</f>
        <v>1821</v>
      </c>
      <c r="R26" s="167">
        <f t="shared" si="19"/>
        <v>72</v>
      </c>
      <c r="S26" s="108">
        <f>IFERROR(IF(Arrear!S39="","",Arrear!S39),"")</f>
        <v>875</v>
      </c>
      <c r="T26" s="108">
        <f>IFERROR(IF(Arrear!T39="","",Arrear!T39),"")</f>
        <v>875</v>
      </c>
      <c r="U26" s="167">
        <f t="shared" si="20"/>
        <v>0</v>
      </c>
      <c r="V26" s="108">
        <f>IFERROR(IF(Arrear!V39="","",Arrear!V39),"")</f>
        <v>0</v>
      </c>
      <c r="W26" s="108" t="str">
        <f>IFERROR(IF(Arrear!W39="","",Arrear!W39),"")</f>
        <v/>
      </c>
      <c r="X26" s="167">
        <f t="shared" si="21"/>
        <v>0</v>
      </c>
      <c r="Y26" s="119">
        <f t="shared" si="22"/>
        <v>72</v>
      </c>
      <c r="Z26" s="118">
        <f t="shared" si="23"/>
        <v>3816</v>
      </c>
      <c r="AA26" s="168"/>
    </row>
    <row r="27" spans="2:27" ht="23.1" customHeight="1">
      <c r="B27" s="108">
        <f>IFERROR(IF(Arrear!B40="","",IF(Arrear!B40=0,"",Arrear!B40)),"")</f>
        <v>18</v>
      </c>
      <c r="C27" s="110">
        <f>IFERROR(IF(Arrear!C40="","",IF(Arrear!C40=0,"",Arrear!C40)),"")</f>
        <v>45536</v>
      </c>
      <c r="D27" s="108">
        <f>IFERROR(IF(Arrear!D40="","",IF(Arrear!D40=0,"",Arrear!D40)),"")</f>
        <v>63100</v>
      </c>
      <c r="E27" s="108">
        <f>IFERROR(IF(Arrear!E40="","",IF(Arrear!E40=0,"",Arrear!E40)),"")</f>
        <v>33443</v>
      </c>
      <c r="F27" s="108">
        <f>IFERROR(IF(Arrear!F40="","",IF(Arrear!F40=0,"",Arrear!F40)),"")</f>
        <v>5679</v>
      </c>
      <c r="G27" s="167">
        <f t="shared" si="16"/>
        <v>102222</v>
      </c>
      <c r="H27" s="108">
        <f>IFERROR(IF(Arrear!H40="","",IF(Arrear!H40=0,"",Arrear!H40)),"")</f>
        <v>60700</v>
      </c>
      <c r="I27" s="108">
        <f>IFERROR(IF(Arrear!I40="","",IF(Arrear!I40=0,"",Arrear!I40)),"")</f>
        <v>32171</v>
      </c>
      <c r="J27" s="108">
        <f>IFERROR(IF(Arrear!J40="","",IF(Arrear!J40=0,"",Arrear!J40)),"")</f>
        <v>5463</v>
      </c>
      <c r="K27" s="167">
        <f t="shared" si="17"/>
        <v>98334</v>
      </c>
      <c r="L27" s="108">
        <f>IFERROR(IF(Arrear!L40="","",IF(Arrear!L40=0,"",Arrear!L40)),"")</f>
        <v>2400</v>
      </c>
      <c r="M27" s="108">
        <f>IFERROR(IF(Arrear!M40="","",IF(Arrear!M40=0,"",Arrear!M40)),"")</f>
        <v>1272</v>
      </c>
      <c r="N27" s="108">
        <f>IFERROR(IF(Arrear!N40="","",IF(Arrear!N40=0,"",Arrear!N40)),"")</f>
        <v>216</v>
      </c>
      <c r="O27" s="167">
        <f t="shared" si="18"/>
        <v>3888</v>
      </c>
      <c r="P27" s="108">
        <f>IFERROR(IF(Arrear!P40="","",Arrear!P40),"")</f>
        <v>1893</v>
      </c>
      <c r="Q27" s="108">
        <f>IFERROR(IF(Arrear!Q40="","",Arrear!Q40),"")</f>
        <v>1821</v>
      </c>
      <c r="R27" s="167">
        <f t="shared" si="19"/>
        <v>72</v>
      </c>
      <c r="S27" s="108">
        <f>IFERROR(IF(Arrear!S40="","",Arrear!S40),"")</f>
        <v>875</v>
      </c>
      <c r="T27" s="108">
        <f>IFERROR(IF(Arrear!T40="","",Arrear!T40),"")</f>
        <v>875</v>
      </c>
      <c r="U27" s="167">
        <f t="shared" si="20"/>
        <v>0</v>
      </c>
      <c r="V27" s="108">
        <f>IFERROR(IF(Arrear!V40="","",Arrear!V40),"")</f>
        <v>0</v>
      </c>
      <c r="W27" s="108" t="str">
        <f>IFERROR(IF(Arrear!W40="","",Arrear!W40),"")</f>
        <v/>
      </c>
      <c r="X27" s="167">
        <f t="shared" si="21"/>
        <v>0</v>
      </c>
      <c r="Y27" s="119">
        <f t="shared" si="22"/>
        <v>72</v>
      </c>
      <c r="Z27" s="118">
        <f t="shared" si="23"/>
        <v>3816</v>
      </c>
      <c r="AA27" s="168"/>
    </row>
    <row r="28" spans="2:27" ht="23.1" customHeight="1">
      <c r="B28" s="108">
        <f>IFERROR(IF(Arrear!B41="","",IF(Arrear!B41=0,"",Arrear!B41)),"")</f>
        <v>19</v>
      </c>
      <c r="C28" s="110">
        <f>IFERROR(IF(Arrear!C41="","",IF(Arrear!C41=0,"",Arrear!C41)),"")</f>
        <v>45566</v>
      </c>
      <c r="D28" s="108">
        <f>IFERROR(IF(Arrear!D41="","",IF(Arrear!D41=0,"",Arrear!D41)),"")</f>
        <v>63100</v>
      </c>
      <c r="E28" s="108">
        <f>IFERROR(IF(Arrear!E41="","",IF(Arrear!E41=0,"",Arrear!E41)),"")</f>
        <v>33443</v>
      </c>
      <c r="F28" s="108">
        <f>IFERROR(IF(Arrear!F41="","",IF(Arrear!F41=0,"",Arrear!F41)),"")</f>
        <v>5679</v>
      </c>
      <c r="G28" s="167">
        <f t="shared" si="16"/>
        <v>102222</v>
      </c>
      <c r="H28" s="108">
        <f>IFERROR(IF(Arrear!H41="","",IF(Arrear!H41=0,"",Arrear!H41)),"")</f>
        <v>60700</v>
      </c>
      <c r="I28" s="108">
        <f>IFERROR(IF(Arrear!I41="","",IF(Arrear!I41=0,"",Arrear!I41)),"")</f>
        <v>32171</v>
      </c>
      <c r="J28" s="108">
        <f>IFERROR(IF(Arrear!J41="","",IF(Arrear!J41=0,"",Arrear!J41)),"")</f>
        <v>5463</v>
      </c>
      <c r="K28" s="167">
        <f t="shared" si="17"/>
        <v>98334</v>
      </c>
      <c r="L28" s="108">
        <f>IFERROR(IF(Arrear!L41="","",IF(Arrear!L41=0,"",Arrear!L41)),"")</f>
        <v>2400</v>
      </c>
      <c r="M28" s="108">
        <f>IFERROR(IF(Arrear!M41="","",IF(Arrear!M41=0,"",Arrear!M41)),"")</f>
        <v>1272</v>
      </c>
      <c r="N28" s="108">
        <f>IFERROR(IF(Arrear!N41="","",IF(Arrear!N41=0,"",Arrear!N41)),"")</f>
        <v>216</v>
      </c>
      <c r="O28" s="167">
        <f t="shared" si="18"/>
        <v>3888</v>
      </c>
      <c r="P28" s="108">
        <f>IFERROR(IF(Arrear!P41="","",Arrear!P41),"")</f>
        <v>1893</v>
      </c>
      <c r="Q28" s="108">
        <f>IFERROR(IF(Arrear!Q41="","",Arrear!Q41),"")</f>
        <v>1821</v>
      </c>
      <c r="R28" s="167">
        <f t="shared" si="19"/>
        <v>72</v>
      </c>
      <c r="S28" s="108">
        <f>IFERROR(IF(Arrear!S41="","",Arrear!S41),"")</f>
        <v>875</v>
      </c>
      <c r="T28" s="108">
        <f>IFERROR(IF(Arrear!T41="","",Arrear!T41),"")</f>
        <v>875</v>
      </c>
      <c r="U28" s="167">
        <f t="shared" si="20"/>
        <v>0</v>
      </c>
      <c r="V28" s="108">
        <f>IFERROR(IF(Arrear!V41="","",Arrear!V41),"")</f>
        <v>0</v>
      </c>
      <c r="W28" s="108" t="str">
        <f>IFERROR(IF(Arrear!W41="","",Arrear!W41),"")</f>
        <v/>
      </c>
      <c r="X28" s="167">
        <f t="shared" si="21"/>
        <v>0</v>
      </c>
      <c r="Y28" s="119">
        <f t="shared" si="22"/>
        <v>72</v>
      </c>
      <c r="Z28" s="118">
        <f t="shared" si="23"/>
        <v>3816</v>
      </c>
      <c r="AA28" s="168"/>
    </row>
    <row r="29" spans="2:27" ht="23.1" customHeight="1">
      <c r="B29" s="108">
        <f>IFERROR(IF(Arrear!B42="","",IF(Arrear!B42=0,"",Arrear!B42)),"")</f>
        <v>20</v>
      </c>
      <c r="C29" s="110">
        <f>IFERROR(IF(Arrear!C42="","",IF(Arrear!C42=0,"",Arrear!C42)),"")</f>
        <v>45597</v>
      </c>
      <c r="D29" s="108">
        <f>IFERROR(IF(Arrear!D42="","",IF(Arrear!D42=0,"",Arrear!D42)),"")</f>
        <v>63100</v>
      </c>
      <c r="E29" s="108">
        <f>IFERROR(IF(Arrear!E42="","",IF(Arrear!E42=0,"",Arrear!E42)),"")</f>
        <v>33443</v>
      </c>
      <c r="F29" s="108">
        <f>IFERROR(IF(Arrear!F42="","",IF(Arrear!F42=0,"",Arrear!F42)),"")</f>
        <v>6310</v>
      </c>
      <c r="G29" s="167">
        <f t="shared" si="16"/>
        <v>102853</v>
      </c>
      <c r="H29" s="108">
        <f>IFERROR(IF(Arrear!H42="","",IF(Arrear!H42=0,"",Arrear!H42)),"")</f>
        <v>60700</v>
      </c>
      <c r="I29" s="108">
        <f>IFERROR(IF(Arrear!I42="","",IF(Arrear!I42=0,"",Arrear!I42)),"")</f>
        <v>32171</v>
      </c>
      <c r="J29" s="108">
        <f>IFERROR(IF(Arrear!J42="","",IF(Arrear!J42=0,"",Arrear!J42)),"")</f>
        <v>6070</v>
      </c>
      <c r="K29" s="167">
        <f t="shared" si="17"/>
        <v>98941</v>
      </c>
      <c r="L29" s="108">
        <f>IFERROR(IF(Arrear!L42="","",IF(Arrear!L42=0,"",Arrear!L42)),"")</f>
        <v>2400</v>
      </c>
      <c r="M29" s="108">
        <f>IFERROR(IF(Arrear!M42="","",IF(Arrear!M42=0,"",Arrear!M42)),"")</f>
        <v>1272</v>
      </c>
      <c r="N29" s="108">
        <f>IFERROR(IF(Arrear!N42="","",IF(Arrear!N42=0,"",Arrear!N42)),"")</f>
        <v>240</v>
      </c>
      <c r="O29" s="167">
        <f t="shared" si="18"/>
        <v>3912</v>
      </c>
      <c r="P29" s="108" t="str">
        <f>IFERROR(IF(Arrear!P42="","",Arrear!P42),"")</f>
        <v/>
      </c>
      <c r="Q29" s="108" t="str">
        <f>IFERROR(IF(Arrear!Q42="","",Arrear!Q42),"")</f>
        <v/>
      </c>
      <c r="R29" s="167" t="str">
        <f t="shared" si="19"/>
        <v/>
      </c>
      <c r="S29" s="108">
        <f>IFERROR(IF(Arrear!S42="","",Arrear!S42),"")</f>
        <v>875</v>
      </c>
      <c r="T29" s="108">
        <f>IFERROR(IF(Arrear!T42="","",Arrear!T42),"")</f>
        <v>875</v>
      </c>
      <c r="U29" s="167">
        <f t="shared" si="20"/>
        <v>0</v>
      </c>
      <c r="V29" s="108">
        <f>IFERROR(IF(Arrear!V42="","",Arrear!V42),"")</f>
        <v>0</v>
      </c>
      <c r="W29" s="108" t="str">
        <f>IFERROR(IF(Arrear!W42="","",Arrear!W42),"")</f>
        <v/>
      </c>
      <c r="X29" s="167">
        <f t="shared" si="21"/>
        <v>0</v>
      </c>
      <c r="Y29" s="119">
        <f t="shared" si="22"/>
        <v>0</v>
      </c>
      <c r="Z29" s="118">
        <f t="shared" si="23"/>
        <v>3912</v>
      </c>
      <c r="AA29" s="168"/>
    </row>
    <row r="30" spans="2:27" ht="23.1" customHeight="1">
      <c r="B30" s="108">
        <f>IFERROR(IF(Arrear!B43="","",IF(Arrear!B43=0,"",Arrear!B43)),"")</f>
        <v>21</v>
      </c>
      <c r="C30" s="110">
        <f>IFERROR(IF(Arrear!C43="","",IF(Arrear!C43=0,"",Arrear!C43)),"")</f>
        <v>45627</v>
      </c>
      <c r="D30" s="108">
        <f>IFERROR(IF(Arrear!D43="","",IF(Arrear!D43=0,"",Arrear!D43)),"")</f>
        <v>63100</v>
      </c>
      <c r="E30" s="108">
        <f>IFERROR(IF(Arrear!E43="","",IF(Arrear!E43=0,"",Arrear!E43)),"")</f>
        <v>33443</v>
      </c>
      <c r="F30" s="108">
        <f>IFERROR(IF(Arrear!F43="","",IF(Arrear!F43=0,"",Arrear!F43)),"")</f>
        <v>6310</v>
      </c>
      <c r="G30" s="167">
        <f t="shared" si="16"/>
        <v>102853</v>
      </c>
      <c r="H30" s="108">
        <f>IFERROR(IF(Arrear!H43="","",IF(Arrear!H43=0,"",Arrear!H43)),"")</f>
        <v>60700</v>
      </c>
      <c r="I30" s="108">
        <f>IFERROR(IF(Arrear!I43="","",IF(Arrear!I43=0,"",Arrear!I43)),"")</f>
        <v>32171</v>
      </c>
      <c r="J30" s="108">
        <f>IFERROR(IF(Arrear!J43="","",IF(Arrear!J43=0,"",Arrear!J43)),"")</f>
        <v>6070</v>
      </c>
      <c r="K30" s="167">
        <f t="shared" si="17"/>
        <v>98941</v>
      </c>
      <c r="L30" s="108">
        <f>IFERROR(IF(Arrear!L43="","",IF(Arrear!L43=0,"",Arrear!L43)),"")</f>
        <v>2400</v>
      </c>
      <c r="M30" s="108">
        <f>IFERROR(IF(Arrear!M43="","",IF(Arrear!M43=0,"",Arrear!M43)),"")</f>
        <v>1272</v>
      </c>
      <c r="N30" s="108">
        <f>IFERROR(IF(Arrear!N43="","",IF(Arrear!N43=0,"",Arrear!N43)),"")</f>
        <v>240</v>
      </c>
      <c r="O30" s="167">
        <f t="shared" si="18"/>
        <v>3912</v>
      </c>
      <c r="P30" s="108" t="str">
        <f>IFERROR(IF(Arrear!P43="","",Arrear!P43),"")</f>
        <v/>
      </c>
      <c r="Q30" s="108" t="str">
        <f>IFERROR(IF(Arrear!Q43="","",Arrear!Q43),"")</f>
        <v/>
      </c>
      <c r="R30" s="167" t="str">
        <f t="shared" si="19"/>
        <v/>
      </c>
      <c r="S30" s="108">
        <f>IFERROR(IF(Arrear!S43="","",Arrear!S43),"")</f>
        <v>875</v>
      </c>
      <c r="T30" s="108">
        <f>IFERROR(IF(Arrear!T43="","",Arrear!T43),"")</f>
        <v>875</v>
      </c>
      <c r="U30" s="167">
        <f t="shared" si="20"/>
        <v>0</v>
      </c>
      <c r="V30" s="108">
        <f>IFERROR(IF(Arrear!V43="","",Arrear!V43),"")</f>
        <v>0</v>
      </c>
      <c r="W30" s="108" t="str">
        <f>IFERROR(IF(Arrear!W43="","",Arrear!W43),"")</f>
        <v/>
      </c>
      <c r="X30" s="167">
        <f t="shared" si="21"/>
        <v>0</v>
      </c>
      <c r="Y30" s="119">
        <f t="shared" si="22"/>
        <v>0</v>
      </c>
      <c r="Z30" s="118">
        <f t="shared" si="23"/>
        <v>3912</v>
      </c>
      <c r="AA30" s="168"/>
    </row>
    <row r="31" spans="2:27" ht="23.1" customHeight="1">
      <c r="B31" s="108">
        <f>IFERROR(IF(Arrear!B44="","",IF(Arrear!B44=0,"",Arrear!B44)),"")</f>
        <v>22</v>
      </c>
      <c r="C31" s="110">
        <f>IFERROR(IF(Arrear!C44="","",IF(Arrear!C44=0,"",Arrear!C44)),"")</f>
        <v>45658</v>
      </c>
      <c r="D31" s="108">
        <f>IFERROR(IF(Arrear!D44="","",IF(Arrear!D44=0,"",Arrear!D44)),"")</f>
        <v>63100</v>
      </c>
      <c r="E31" s="108">
        <f>IFERROR(IF(Arrear!E44="","",IF(Arrear!E44=0,"",Arrear!E44)),"")</f>
        <v>34705</v>
      </c>
      <c r="F31" s="108">
        <f>IFERROR(IF(Arrear!F44="","",IF(Arrear!F44=0,"",Arrear!F44)),"")</f>
        <v>6310</v>
      </c>
      <c r="G31" s="167">
        <f t="shared" si="16"/>
        <v>104115</v>
      </c>
      <c r="H31" s="108">
        <f>IFERROR(IF(Arrear!H44="","",IF(Arrear!H44=0,"",Arrear!H44)),"")</f>
        <v>60700</v>
      </c>
      <c r="I31" s="108">
        <f>IFERROR(IF(Arrear!I44="","",IF(Arrear!I44=0,"",Arrear!I44)),"")</f>
        <v>33385</v>
      </c>
      <c r="J31" s="108">
        <f>IFERROR(IF(Arrear!J44="","",IF(Arrear!J44=0,"",Arrear!J44)),"")</f>
        <v>6070</v>
      </c>
      <c r="K31" s="167">
        <f t="shared" si="17"/>
        <v>100155</v>
      </c>
      <c r="L31" s="108">
        <f>IFERROR(IF(Arrear!L44="","",IF(Arrear!L44=0,"",Arrear!L44)),"")</f>
        <v>2400</v>
      </c>
      <c r="M31" s="108">
        <f>IFERROR(IF(Arrear!M44="","",IF(Arrear!M44=0,"",Arrear!M44)),"")</f>
        <v>1320</v>
      </c>
      <c r="N31" s="108">
        <f>IFERROR(IF(Arrear!N44="","",IF(Arrear!N44=0,"",Arrear!N44)),"")</f>
        <v>240</v>
      </c>
      <c r="O31" s="167">
        <f t="shared" si="18"/>
        <v>3960</v>
      </c>
      <c r="P31" s="108">
        <f>IFERROR(IF(Arrear!P44="","",Arrear!P44),"")</f>
        <v>1262</v>
      </c>
      <c r="Q31" s="108">
        <f>IFERROR(IF(Arrear!Q44="","",Arrear!Q44),"")</f>
        <v>1214</v>
      </c>
      <c r="R31" s="167">
        <f t="shared" si="19"/>
        <v>48</v>
      </c>
      <c r="S31" s="108">
        <f>IFERROR(IF(Arrear!S44="","",Arrear!S44),"")</f>
        <v>875</v>
      </c>
      <c r="T31" s="108">
        <f>IFERROR(IF(Arrear!T44="","",Arrear!T44),"")</f>
        <v>875</v>
      </c>
      <c r="U31" s="167">
        <f t="shared" si="20"/>
        <v>0</v>
      </c>
      <c r="V31" s="108">
        <f>IFERROR(IF(Arrear!V44="","",Arrear!V44),"")</f>
        <v>0</v>
      </c>
      <c r="W31" s="108" t="str">
        <f>IFERROR(IF(Arrear!W44="","",Arrear!W44),"")</f>
        <v/>
      </c>
      <c r="X31" s="167">
        <f t="shared" si="21"/>
        <v>0</v>
      </c>
      <c r="Y31" s="119">
        <f t="shared" si="22"/>
        <v>48</v>
      </c>
      <c r="Z31" s="118">
        <f t="shared" si="23"/>
        <v>3912</v>
      </c>
      <c r="AA31" s="168"/>
    </row>
    <row r="32" spans="2:27" ht="23.1" customHeight="1">
      <c r="B32" s="108">
        <f>IFERROR(IF(Arrear!B45="","",IF(Arrear!B45=0,"",Arrear!B45)),"")</f>
        <v>23</v>
      </c>
      <c r="C32" s="110">
        <f>IFERROR(IF(Arrear!C45="","",IF(Arrear!C45=0,"",Arrear!C45)),"")</f>
        <v>45689</v>
      </c>
      <c r="D32" s="108">
        <f>IFERROR(IF(Arrear!D45="","",IF(Arrear!D45=0,"",Arrear!D45)),"")</f>
        <v>63100</v>
      </c>
      <c r="E32" s="108">
        <f>IFERROR(IF(Arrear!E45="","",IF(Arrear!E45=0,"",Arrear!E45)),"")</f>
        <v>34705</v>
      </c>
      <c r="F32" s="108">
        <f>IFERROR(IF(Arrear!F45="","",IF(Arrear!F45=0,"",Arrear!F45)),"")</f>
        <v>6310</v>
      </c>
      <c r="G32" s="167">
        <f t="shared" ref="G32:G42" si="24">IFERROR(IF(E32="","",IF(D32="","",SUM(D32:F32))),"")</f>
        <v>104115</v>
      </c>
      <c r="H32" s="108">
        <f>IFERROR(IF(Arrear!H45="","",IF(Arrear!H45=0,"",Arrear!H45)),"")</f>
        <v>60700</v>
      </c>
      <c r="I32" s="108">
        <f>IFERROR(IF(Arrear!I45="","",IF(Arrear!I45=0,"",Arrear!I45)),"")</f>
        <v>33385</v>
      </c>
      <c r="J32" s="108">
        <f>IFERROR(IF(Arrear!J45="","",IF(Arrear!J45=0,"",Arrear!J45)),"")</f>
        <v>6070</v>
      </c>
      <c r="K32" s="167">
        <f t="shared" ref="K32:K42" si="25">IFERROR(IF(H32="","",IF(I32="","",SUM(H32:J32))),"")</f>
        <v>100155</v>
      </c>
      <c r="L32" s="108">
        <f>IFERROR(IF(Arrear!L45="","",IF(Arrear!L45=0,"",Arrear!L45)),"")</f>
        <v>2400</v>
      </c>
      <c r="M32" s="108">
        <f>IFERROR(IF(Arrear!M45="","",IF(Arrear!M45=0,"",Arrear!M45)),"")</f>
        <v>1320</v>
      </c>
      <c r="N32" s="108">
        <f>IFERROR(IF(Arrear!N45="","",IF(Arrear!N45=0,"",Arrear!N45)),"")</f>
        <v>240</v>
      </c>
      <c r="O32" s="167">
        <f t="shared" ref="O32:O42" si="26">IFERROR(IF(L32="","",IF(M32="","",SUM(L32:N32))),"")</f>
        <v>3960</v>
      </c>
      <c r="P32" s="108">
        <f>IFERROR(IF(Arrear!P45="","",Arrear!P45),"")</f>
        <v>1262</v>
      </c>
      <c r="Q32" s="108">
        <f>IFERROR(IF(Arrear!Q45="","",Arrear!Q45),"")</f>
        <v>1214</v>
      </c>
      <c r="R32" s="167">
        <f t="shared" ref="R32:R42" si="27">IFERROR(IF(AND(P32="",Q32=""),"",IF(P32="",Q32,IF(Q32="",P32,SUM(P32-Q32)))),"")</f>
        <v>48</v>
      </c>
      <c r="S32" s="108">
        <f>IFERROR(IF(Arrear!S45="","",Arrear!S45),"")</f>
        <v>875</v>
      </c>
      <c r="T32" s="108">
        <f>IFERROR(IF(Arrear!T45="","",Arrear!T45),"")</f>
        <v>875</v>
      </c>
      <c r="U32" s="167">
        <f t="shared" ref="U32:U42" si="28">IFERROR(IF(AND(S32="",T32=""),"",IF(S32="",T32,IF(T32="",S32,SUM(S32-T32)))),"")</f>
        <v>0</v>
      </c>
      <c r="V32" s="108">
        <f>IFERROR(IF(Arrear!V45="","",Arrear!V45),"")</f>
        <v>0</v>
      </c>
      <c r="W32" s="108" t="str">
        <f>IFERROR(IF(Arrear!W45="","",Arrear!W45),"")</f>
        <v/>
      </c>
      <c r="X32" s="167">
        <f t="shared" ref="X32:X42" si="29">IFERROR(IF(AND(V32="",W32=""),"",IF(V32="",W32,IF(W32="",V32,SUM(V32-W32)))),"")</f>
        <v>0</v>
      </c>
      <c r="Y32" s="119">
        <f t="shared" ref="Y32:Y42" si="30">IFERROR(IF(AND(R32="",U32="",X32=""),"",SUM(R32,U32,X32)),"")</f>
        <v>48</v>
      </c>
      <c r="Z32" s="118">
        <f t="shared" ref="Z32:Z42" si="31">IFERROR(IF(AND(O32="",Y32=""),"",IF(O32="",Y32,IF(Y32="",O32,SUM(O32-Y32)))),"")</f>
        <v>3912</v>
      </c>
      <c r="AA32" s="168"/>
    </row>
    <row r="33" spans="2:27" ht="23.1" customHeight="1">
      <c r="B33" s="108">
        <f>IFERROR(IF(Arrear!B46="","",IF(Arrear!B46=0,"",Arrear!B46)),"")</f>
        <v>24</v>
      </c>
      <c r="C33" s="110">
        <f>IFERROR(IF(Arrear!C46="","",IF(Arrear!C46=0,"",Arrear!C46)),"")</f>
        <v>45717</v>
      </c>
      <c r="D33" s="108">
        <f>IFERROR(IF(Arrear!D46="","",IF(Arrear!D46=0,"",Arrear!D46)),"")</f>
        <v>63100</v>
      </c>
      <c r="E33" s="108">
        <f>IFERROR(IF(Arrear!E46="","",IF(Arrear!E46=0,"",Arrear!E46)),"")</f>
        <v>34705</v>
      </c>
      <c r="F33" s="108">
        <f>IFERROR(IF(Arrear!F46="","",IF(Arrear!F46=0,"",Arrear!F46)),"")</f>
        <v>6310</v>
      </c>
      <c r="G33" s="167">
        <f t="shared" si="24"/>
        <v>104115</v>
      </c>
      <c r="H33" s="108">
        <f>IFERROR(IF(Arrear!H46="","",IF(Arrear!H46=0,"",Arrear!H46)),"")</f>
        <v>60700</v>
      </c>
      <c r="I33" s="108">
        <f>IFERROR(IF(Arrear!I46="","",IF(Arrear!I46=0,"",Arrear!I46)),"")</f>
        <v>33385</v>
      </c>
      <c r="J33" s="108">
        <f>IFERROR(IF(Arrear!J46="","",IF(Arrear!J46=0,"",Arrear!J46)),"")</f>
        <v>6070</v>
      </c>
      <c r="K33" s="167">
        <f t="shared" si="25"/>
        <v>100155</v>
      </c>
      <c r="L33" s="108">
        <f>IFERROR(IF(Arrear!L46="","",IF(Arrear!L46=0,"",Arrear!L46)),"")</f>
        <v>2400</v>
      </c>
      <c r="M33" s="108">
        <f>IFERROR(IF(Arrear!M46="","",IF(Arrear!M46=0,"",Arrear!M46)),"")</f>
        <v>1320</v>
      </c>
      <c r="N33" s="108">
        <f>IFERROR(IF(Arrear!N46="","",IF(Arrear!N46=0,"",Arrear!N46)),"")</f>
        <v>240</v>
      </c>
      <c r="O33" s="167">
        <f t="shared" si="26"/>
        <v>3960</v>
      </c>
      <c r="P33" s="108" t="str">
        <f>IFERROR(IF(Arrear!P46="","",Arrear!P46),"")</f>
        <v/>
      </c>
      <c r="Q33" s="108" t="str">
        <f>IFERROR(IF(Arrear!Q46="","",Arrear!Q46),"")</f>
        <v/>
      </c>
      <c r="R33" s="167" t="str">
        <f t="shared" si="27"/>
        <v/>
      </c>
      <c r="S33" s="108">
        <f>IFERROR(IF(Arrear!S46="","",Arrear!S46),"")</f>
        <v>875</v>
      </c>
      <c r="T33" s="108">
        <f>IFERROR(IF(Arrear!T46="","",Arrear!T46),"")</f>
        <v>875</v>
      </c>
      <c r="U33" s="167">
        <f t="shared" si="28"/>
        <v>0</v>
      </c>
      <c r="V33" s="108">
        <f>IFERROR(IF(Arrear!V46="","",Arrear!V46),"")</f>
        <v>0</v>
      </c>
      <c r="W33" s="108" t="str">
        <f>IFERROR(IF(Arrear!W46="","",Arrear!W46),"")</f>
        <v/>
      </c>
      <c r="X33" s="167">
        <f t="shared" si="29"/>
        <v>0</v>
      </c>
      <c r="Y33" s="119">
        <f t="shared" si="30"/>
        <v>0</v>
      </c>
      <c r="Z33" s="118">
        <f t="shared" si="31"/>
        <v>3960</v>
      </c>
      <c r="AA33" s="168"/>
    </row>
    <row r="34" spans="2:27" ht="23.1" customHeight="1">
      <c r="B34" s="108">
        <f>IFERROR(IF(Arrear!B47="","",IF(Arrear!B47=0,"",Arrear!B47)),"")</f>
        <v>25</v>
      </c>
      <c r="C34" s="110">
        <f>IFERROR(IF(Arrear!C47="","",IF(Arrear!C47=0,"",Arrear!C47)),"")</f>
        <v>45748</v>
      </c>
      <c r="D34" s="108">
        <f>IFERROR(IF(Arrear!D47="","",IF(Arrear!D47=0,"",Arrear!D47)),"")</f>
        <v>63100</v>
      </c>
      <c r="E34" s="108">
        <f>IFERROR(IF(Arrear!E47="","",IF(Arrear!E47=0,"",Arrear!E47)),"")</f>
        <v>34705</v>
      </c>
      <c r="F34" s="108">
        <f>IFERROR(IF(Arrear!F47="","",IF(Arrear!F47=0,"",Arrear!F47)),"")</f>
        <v>6310</v>
      </c>
      <c r="G34" s="167">
        <f t="shared" si="24"/>
        <v>104115</v>
      </c>
      <c r="H34" s="108">
        <f>IFERROR(IF(Arrear!H47="","",IF(Arrear!H47=0,"",Arrear!H47)),"")</f>
        <v>60700</v>
      </c>
      <c r="I34" s="108">
        <f>IFERROR(IF(Arrear!I47="","",IF(Arrear!I47=0,"",Arrear!I47)),"")</f>
        <v>33385</v>
      </c>
      <c r="J34" s="108">
        <f>IFERROR(IF(Arrear!J47="","",IF(Arrear!J47=0,"",Arrear!J47)),"")</f>
        <v>6070</v>
      </c>
      <c r="K34" s="167">
        <f t="shared" si="25"/>
        <v>100155</v>
      </c>
      <c r="L34" s="108">
        <f>IFERROR(IF(Arrear!L47="","",IF(Arrear!L47=0,"",Arrear!L47)),"")</f>
        <v>2400</v>
      </c>
      <c r="M34" s="108">
        <f>IFERROR(IF(Arrear!M47="","",IF(Arrear!M47=0,"",Arrear!M47)),"")</f>
        <v>1320</v>
      </c>
      <c r="N34" s="108">
        <f>IFERROR(IF(Arrear!N47="","",IF(Arrear!N47=0,"",Arrear!N47)),"")</f>
        <v>240</v>
      </c>
      <c r="O34" s="167">
        <f t="shared" si="26"/>
        <v>3960</v>
      </c>
      <c r="P34" s="108" t="str">
        <f>IFERROR(IF(Arrear!P47="","",Arrear!P47),"")</f>
        <v/>
      </c>
      <c r="Q34" s="108" t="str">
        <f>IFERROR(IF(Arrear!Q47="","",Arrear!Q47),"")</f>
        <v/>
      </c>
      <c r="R34" s="167" t="str">
        <f t="shared" si="27"/>
        <v/>
      </c>
      <c r="S34" s="108">
        <f>IFERROR(IF(Arrear!S47="","",Arrear!S47),"")</f>
        <v>875</v>
      </c>
      <c r="T34" s="108">
        <f>IFERROR(IF(Arrear!T47="","",Arrear!T47),"")</f>
        <v>875</v>
      </c>
      <c r="U34" s="167">
        <f t="shared" si="28"/>
        <v>0</v>
      </c>
      <c r="V34" s="108">
        <f>IFERROR(IF(Arrear!V47="","",Arrear!V47),"")</f>
        <v>0</v>
      </c>
      <c r="W34" s="108" t="str">
        <f>IFERROR(IF(Arrear!W47="","",Arrear!W47),"")</f>
        <v/>
      </c>
      <c r="X34" s="167">
        <f t="shared" si="29"/>
        <v>0</v>
      </c>
      <c r="Y34" s="119">
        <f t="shared" si="30"/>
        <v>0</v>
      </c>
      <c r="Z34" s="118">
        <f t="shared" si="31"/>
        <v>3960</v>
      </c>
      <c r="AA34" s="168"/>
    </row>
    <row r="35" spans="2:27" ht="23.1" customHeight="1">
      <c r="B35" s="108">
        <f>IFERROR(IF(Arrear!B48="","",IF(Arrear!B48=0,"",Arrear!B48)),"")</f>
        <v>26</v>
      </c>
      <c r="C35" s="110">
        <f>IFERROR(IF(Arrear!C48="","",IF(Arrear!C48=0,"",Arrear!C48)),"")</f>
        <v>45778</v>
      </c>
      <c r="D35" s="108">
        <f>IFERROR(IF(Arrear!D48="","",IF(Arrear!D48=0,"",Arrear!D48)),"")</f>
        <v>63100</v>
      </c>
      <c r="E35" s="108">
        <f>IFERROR(IF(Arrear!E48="","",IF(Arrear!E48=0,"",Arrear!E48)),"")</f>
        <v>34705</v>
      </c>
      <c r="F35" s="108">
        <f>IFERROR(IF(Arrear!F48="","",IF(Arrear!F48=0,"",Arrear!F48)),"")</f>
        <v>6310</v>
      </c>
      <c r="G35" s="167">
        <f t="shared" si="24"/>
        <v>104115</v>
      </c>
      <c r="H35" s="108">
        <f>IFERROR(IF(Arrear!H48="","",IF(Arrear!H48=0,"",Arrear!H48)),"")</f>
        <v>60700</v>
      </c>
      <c r="I35" s="108">
        <f>IFERROR(IF(Arrear!I48="","",IF(Arrear!I48=0,"",Arrear!I48)),"")</f>
        <v>33385</v>
      </c>
      <c r="J35" s="108">
        <f>IFERROR(IF(Arrear!J48="","",IF(Arrear!J48=0,"",Arrear!J48)),"")</f>
        <v>6070</v>
      </c>
      <c r="K35" s="167">
        <f t="shared" si="25"/>
        <v>100155</v>
      </c>
      <c r="L35" s="108">
        <f>IFERROR(IF(Arrear!L48="","",IF(Arrear!L48=0,"",Arrear!L48)),"")</f>
        <v>2400</v>
      </c>
      <c r="M35" s="108">
        <f>IFERROR(IF(Arrear!M48="","",IF(Arrear!M48=0,"",Arrear!M48)),"")</f>
        <v>1320</v>
      </c>
      <c r="N35" s="108">
        <f>IFERROR(IF(Arrear!N48="","",IF(Arrear!N48=0,"",Arrear!N48)),"")</f>
        <v>240</v>
      </c>
      <c r="O35" s="167">
        <f t="shared" si="26"/>
        <v>3960</v>
      </c>
      <c r="P35" s="108" t="str">
        <f>IFERROR(IF(Arrear!P48="","",Arrear!P48),"")</f>
        <v/>
      </c>
      <c r="Q35" s="108" t="str">
        <f>IFERROR(IF(Arrear!Q48="","",Arrear!Q48),"")</f>
        <v/>
      </c>
      <c r="R35" s="167" t="str">
        <f t="shared" si="27"/>
        <v/>
      </c>
      <c r="S35" s="108">
        <f>IFERROR(IF(Arrear!S48="","",Arrear!S48),"")</f>
        <v>875</v>
      </c>
      <c r="T35" s="108">
        <f>IFERROR(IF(Arrear!T48="","",Arrear!T48),"")</f>
        <v>875</v>
      </c>
      <c r="U35" s="167">
        <f t="shared" si="28"/>
        <v>0</v>
      </c>
      <c r="V35" s="108">
        <f>IFERROR(IF(Arrear!V48="","",Arrear!V48),"")</f>
        <v>0</v>
      </c>
      <c r="W35" s="108" t="str">
        <f>IFERROR(IF(Arrear!W48="","",Arrear!W48),"")</f>
        <v/>
      </c>
      <c r="X35" s="167">
        <f t="shared" si="29"/>
        <v>0</v>
      </c>
      <c r="Y35" s="119">
        <f t="shared" si="30"/>
        <v>0</v>
      </c>
      <c r="Z35" s="118">
        <f t="shared" si="31"/>
        <v>3960</v>
      </c>
      <c r="AA35" s="168"/>
    </row>
    <row r="36" spans="2:27" ht="23.1" customHeight="1">
      <c r="B36" s="108">
        <f>IFERROR(IF(Arrear!B49="","",IF(Arrear!B49=0,"",Arrear!B49)),"")</f>
        <v>27</v>
      </c>
      <c r="C36" s="110">
        <f>IFERROR(IF(Arrear!C49="","",IF(Arrear!C49=0,"",Arrear!C49)),"")</f>
        <v>45809</v>
      </c>
      <c r="D36" s="108">
        <f>IFERROR(IF(Arrear!D49="","",IF(Arrear!D49=0,"",Arrear!D49)),"")</f>
        <v>63100</v>
      </c>
      <c r="E36" s="108">
        <f>IFERROR(IF(Arrear!E49="","",IF(Arrear!E49=0,"",Arrear!E49)),"")</f>
        <v>34705</v>
      </c>
      <c r="F36" s="108">
        <f>IFERROR(IF(Arrear!F49="","",IF(Arrear!F49=0,"",Arrear!F49)),"")</f>
        <v>6310</v>
      </c>
      <c r="G36" s="167">
        <f t="shared" si="24"/>
        <v>104115</v>
      </c>
      <c r="H36" s="108">
        <f>IFERROR(IF(Arrear!H49="","",IF(Arrear!H49=0,"",Arrear!H49)),"")</f>
        <v>60700</v>
      </c>
      <c r="I36" s="108">
        <f>IFERROR(IF(Arrear!I49="","",IF(Arrear!I49=0,"",Arrear!I49)),"")</f>
        <v>33385</v>
      </c>
      <c r="J36" s="108">
        <f>IFERROR(IF(Arrear!J49="","",IF(Arrear!J49=0,"",Arrear!J49)),"")</f>
        <v>6070</v>
      </c>
      <c r="K36" s="167">
        <f t="shared" si="25"/>
        <v>100155</v>
      </c>
      <c r="L36" s="108">
        <f>IFERROR(IF(Arrear!L49="","",IF(Arrear!L49=0,"",Arrear!L49)),"")</f>
        <v>2400</v>
      </c>
      <c r="M36" s="108">
        <f>IFERROR(IF(Arrear!M49="","",IF(Arrear!M49=0,"",Arrear!M49)),"")</f>
        <v>1320</v>
      </c>
      <c r="N36" s="108">
        <f>IFERROR(IF(Arrear!N49="","",IF(Arrear!N49=0,"",Arrear!N49)),"")</f>
        <v>240</v>
      </c>
      <c r="O36" s="167">
        <f t="shared" si="26"/>
        <v>3960</v>
      </c>
      <c r="P36" s="108" t="str">
        <f>IFERROR(IF(Arrear!P49="","",Arrear!P49),"")</f>
        <v/>
      </c>
      <c r="Q36" s="108" t="str">
        <f>IFERROR(IF(Arrear!Q49="","",Arrear!Q49),"")</f>
        <v/>
      </c>
      <c r="R36" s="167" t="str">
        <f t="shared" si="27"/>
        <v/>
      </c>
      <c r="S36" s="108">
        <f>IFERROR(IF(Arrear!S49="","",Arrear!S49),"")</f>
        <v>875</v>
      </c>
      <c r="T36" s="108">
        <f>IFERROR(IF(Arrear!T49="","",Arrear!T49),"")</f>
        <v>875</v>
      </c>
      <c r="U36" s="167">
        <f t="shared" si="28"/>
        <v>0</v>
      </c>
      <c r="V36" s="108">
        <f>IFERROR(IF(Arrear!V49="","",Arrear!V49),"")</f>
        <v>0</v>
      </c>
      <c r="W36" s="108" t="str">
        <f>IFERROR(IF(Arrear!W49="","",Arrear!W49),"")</f>
        <v/>
      </c>
      <c r="X36" s="167">
        <f t="shared" si="29"/>
        <v>0</v>
      </c>
      <c r="Y36" s="119">
        <f t="shared" si="30"/>
        <v>0</v>
      </c>
      <c r="Z36" s="118">
        <f t="shared" si="31"/>
        <v>3960</v>
      </c>
      <c r="AA36" s="168"/>
    </row>
    <row r="37" spans="2:27" ht="23.1" customHeight="1">
      <c r="B37" s="108">
        <f>IFERROR(IF(Arrear!B50="","",IF(Arrear!B50=0,"",Arrear!B50)),"")</f>
        <v>28</v>
      </c>
      <c r="C37" s="110">
        <f>IFERROR(IF(Arrear!C50="","",IF(Arrear!C50=0,"",Arrear!C50)),"")</f>
        <v>45839</v>
      </c>
      <c r="D37" s="108">
        <f>IFERROR(IF(Arrear!D50="","",IF(Arrear!D50=0,"",Arrear!D50)),"")</f>
        <v>65000</v>
      </c>
      <c r="E37" s="108">
        <f>IFERROR(IF(Arrear!E50="","",IF(Arrear!E50=0,"",Arrear!E50)),"")</f>
        <v>37700</v>
      </c>
      <c r="F37" s="108">
        <f>IFERROR(IF(Arrear!F50="","",IF(Arrear!F50=0,"",Arrear!F50)),"")</f>
        <v>6500</v>
      </c>
      <c r="G37" s="167">
        <f t="shared" si="24"/>
        <v>109200</v>
      </c>
      <c r="H37" s="108">
        <f>IFERROR(IF(Arrear!H50="","",IF(Arrear!H50=0,"",Arrear!H50)),"")</f>
        <v>62500</v>
      </c>
      <c r="I37" s="108">
        <f>IFERROR(IF(Arrear!I50="","",IF(Arrear!I50=0,"",Arrear!I50)),"")</f>
        <v>36250</v>
      </c>
      <c r="J37" s="108">
        <f>IFERROR(IF(Arrear!J50="","",IF(Arrear!J50=0,"",Arrear!J50)),"")</f>
        <v>6250</v>
      </c>
      <c r="K37" s="167">
        <f t="shared" si="25"/>
        <v>105000</v>
      </c>
      <c r="L37" s="108">
        <f>IFERROR(IF(Arrear!L50="","",IF(Arrear!L50=0,"",Arrear!L50)),"")</f>
        <v>2500</v>
      </c>
      <c r="M37" s="108">
        <f>IFERROR(IF(Arrear!M50="","",IF(Arrear!M50=0,"",Arrear!M50)),"")</f>
        <v>1450</v>
      </c>
      <c r="N37" s="108">
        <f>IFERROR(IF(Arrear!N50="","",IF(Arrear!N50=0,"",Arrear!N50)),"")</f>
        <v>250</v>
      </c>
      <c r="O37" s="167">
        <f t="shared" si="26"/>
        <v>4200</v>
      </c>
      <c r="P37" s="108">
        <f>IFERROR(IF(Arrear!P50="","",Arrear!P50),"")</f>
        <v>1950</v>
      </c>
      <c r="Q37" s="108">
        <f>IFERROR(IF(Arrear!Q50="","",Arrear!Q50),"")</f>
        <v>1875</v>
      </c>
      <c r="R37" s="167">
        <f t="shared" si="27"/>
        <v>75</v>
      </c>
      <c r="S37" s="108">
        <f>IFERROR(IF(Arrear!S50="","",Arrear!S50),"")</f>
        <v>875</v>
      </c>
      <c r="T37" s="108">
        <f>IFERROR(IF(Arrear!T50="","",Arrear!T50),"")</f>
        <v>875</v>
      </c>
      <c r="U37" s="167">
        <f t="shared" si="28"/>
        <v>0</v>
      </c>
      <c r="V37" s="108">
        <f>IFERROR(IF(Arrear!V50="","",Arrear!V50),"")</f>
        <v>0</v>
      </c>
      <c r="W37" s="108" t="str">
        <f>IFERROR(IF(Arrear!W50="","",Arrear!W50),"")</f>
        <v/>
      </c>
      <c r="X37" s="167">
        <f t="shared" si="29"/>
        <v>0</v>
      </c>
      <c r="Y37" s="119">
        <f t="shared" si="30"/>
        <v>75</v>
      </c>
      <c r="Z37" s="118">
        <f t="shared" si="31"/>
        <v>4125</v>
      </c>
      <c r="AA37" s="168"/>
    </row>
    <row r="38" spans="2:27" ht="23.1" customHeight="1">
      <c r="B38" s="108">
        <f>IFERROR(IF(Arrear!B51="","",IF(Arrear!B51=0,"",Arrear!B51)),"")</f>
        <v>29</v>
      </c>
      <c r="C38" s="110">
        <f>IFERROR(IF(Arrear!C51="","",IF(Arrear!C51=0,"",Arrear!C51)),"")</f>
        <v>45870</v>
      </c>
      <c r="D38" s="108">
        <f>IFERROR(IF(Arrear!D51="","",IF(Arrear!D51=0,"",Arrear!D51)),"")</f>
        <v>65000</v>
      </c>
      <c r="E38" s="108">
        <f>IFERROR(IF(Arrear!E51="","",IF(Arrear!E51=0,"",Arrear!E51)),"")</f>
        <v>37700</v>
      </c>
      <c r="F38" s="108">
        <f>IFERROR(IF(Arrear!F51="","",IF(Arrear!F51=0,"",Arrear!F51)),"")</f>
        <v>6500</v>
      </c>
      <c r="G38" s="167">
        <f t="shared" si="24"/>
        <v>109200</v>
      </c>
      <c r="H38" s="108">
        <f>IFERROR(IF(Arrear!H51="","",IF(Arrear!H51=0,"",Arrear!H51)),"")</f>
        <v>62500</v>
      </c>
      <c r="I38" s="108">
        <f>IFERROR(IF(Arrear!I51="","",IF(Arrear!I51=0,"",Arrear!I51)),"")</f>
        <v>36250</v>
      </c>
      <c r="J38" s="108">
        <f>IFERROR(IF(Arrear!J51="","",IF(Arrear!J51=0,"",Arrear!J51)),"")</f>
        <v>6250</v>
      </c>
      <c r="K38" s="167">
        <f t="shared" si="25"/>
        <v>105000</v>
      </c>
      <c r="L38" s="108">
        <f>IFERROR(IF(Arrear!L51="","",IF(Arrear!L51=0,"",Arrear!L51)),"")</f>
        <v>2500</v>
      </c>
      <c r="M38" s="108">
        <f>IFERROR(IF(Arrear!M51="","",IF(Arrear!M51=0,"",Arrear!M51)),"")</f>
        <v>1450</v>
      </c>
      <c r="N38" s="108">
        <f>IFERROR(IF(Arrear!N51="","",IF(Arrear!N51=0,"",Arrear!N51)),"")</f>
        <v>250</v>
      </c>
      <c r="O38" s="167">
        <f t="shared" si="26"/>
        <v>4200</v>
      </c>
      <c r="P38" s="108">
        <f>IFERROR(IF(Arrear!P51="","",Arrear!P51),"")</f>
        <v>1950</v>
      </c>
      <c r="Q38" s="108">
        <f>IFERROR(IF(Arrear!Q51="","",Arrear!Q51),"")</f>
        <v>1875</v>
      </c>
      <c r="R38" s="167">
        <f t="shared" si="27"/>
        <v>75</v>
      </c>
      <c r="S38" s="108">
        <f>IFERROR(IF(Arrear!S51="","",Arrear!S51),"")</f>
        <v>875</v>
      </c>
      <c r="T38" s="108">
        <f>IFERROR(IF(Arrear!T51="","",Arrear!T51),"")</f>
        <v>875</v>
      </c>
      <c r="U38" s="167">
        <f t="shared" si="28"/>
        <v>0</v>
      </c>
      <c r="V38" s="108">
        <f>IFERROR(IF(Arrear!V51="","",Arrear!V51),"")</f>
        <v>0</v>
      </c>
      <c r="W38" s="108" t="str">
        <f>IFERROR(IF(Arrear!W51="","",Arrear!W51),"")</f>
        <v/>
      </c>
      <c r="X38" s="167">
        <f t="shared" si="29"/>
        <v>0</v>
      </c>
      <c r="Y38" s="119">
        <f t="shared" si="30"/>
        <v>75</v>
      </c>
      <c r="Z38" s="118">
        <f t="shared" si="31"/>
        <v>4125</v>
      </c>
      <c r="AA38" s="168"/>
    </row>
    <row r="39" spans="2:27" ht="23.1" customHeight="1">
      <c r="B39" s="108">
        <f>IFERROR(IF(Arrear!B52="","",IF(Arrear!B52=0,"",Arrear!B52)),"")</f>
        <v>30</v>
      </c>
      <c r="C39" s="110">
        <f>IFERROR(IF(Arrear!C52="","",IF(Arrear!C52=0,"",Arrear!C52)),"")</f>
        <v>45901</v>
      </c>
      <c r="D39" s="108">
        <f>IFERROR(IF(Arrear!D52="","",IF(Arrear!D52=0,"",Arrear!D52)),"")</f>
        <v>65000</v>
      </c>
      <c r="E39" s="108">
        <f>IFERROR(IF(Arrear!E52="","",IF(Arrear!E52=0,"",Arrear!E52)),"")</f>
        <v>37700</v>
      </c>
      <c r="F39" s="108">
        <f>IFERROR(IF(Arrear!F52="","",IF(Arrear!F52=0,"",Arrear!F52)),"")</f>
        <v>6500</v>
      </c>
      <c r="G39" s="167">
        <f t="shared" si="24"/>
        <v>109200</v>
      </c>
      <c r="H39" s="108">
        <f>IFERROR(IF(Arrear!H52="","",IF(Arrear!H52=0,"",Arrear!H52)),"")</f>
        <v>62500</v>
      </c>
      <c r="I39" s="108">
        <f>IFERROR(IF(Arrear!I52="","",IF(Arrear!I52=0,"",Arrear!I52)),"")</f>
        <v>36250</v>
      </c>
      <c r="J39" s="108">
        <f>IFERROR(IF(Arrear!J52="","",IF(Arrear!J52=0,"",Arrear!J52)),"")</f>
        <v>6250</v>
      </c>
      <c r="K39" s="167">
        <f t="shared" si="25"/>
        <v>105000</v>
      </c>
      <c r="L39" s="108">
        <f>IFERROR(IF(Arrear!L52="","",IF(Arrear!L52=0,"",Arrear!L52)),"")</f>
        <v>2500</v>
      </c>
      <c r="M39" s="108">
        <f>IFERROR(IF(Arrear!M52="","",IF(Arrear!M52=0,"",Arrear!M52)),"")</f>
        <v>1450</v>
      </c>
      <c r="N39" s="108">
        <f>IFERROR(IF(Arrear!N52="","",IF(Arrear!N52=0,"",Arrear!N52)),"")</f>
        <v>250</v>
      </c>
      <c r="O39" s="167">
        <f t="shared" si="26"/>
        <v>4200</v>
      </c>
      <c r="P39" s="108">
        <f>IFERROR(IF(Arrear!P52="","",Arrear!P52),"")</f>
        <v>1950</v>
      </c>
      <c r="Q39" s="108">
        <f>IFERROR(IF(Arrear!Q52="","",Arrear!Q52),"")</f>
        <v>1875</v>
      </c>
      <c r="R39" s="167">
        <f t="shared" si="27"/>
        <v>75</v>
      </c>
      <c r="S39" s="108">
        <f>IFERROR(IF(Arrear!S52="","",Arrear!S52),"")</f>
        <v>875</v>
      </c>
      <c r="T39" s="108">
        <f>IFERROR(IF(Arrear!T52="","",Arrear!T52),"")</f>
        <v>875</v>
      </c>
      <c r="U39" s="167">
        <f t="shared" si="28"/>
        <v>0</v>
      </c>
      <c r="V39" s="108">
        <f>IFERROR(IF(Arrear!V52="","",Arrear!V52),"")</f>
        <v>0</v>
      </c>
      <c r="W39" s="108" t="str">
        <f>IFERROR(IF(Arrear!W52="","",Arrear!W52),"")</f>
        <v/>
      </c>
      <c r="X39" s="167">
        <f t="shared" si="29"/>
        <v>0</v>
      </c>
      <c r="Y39" s="119">
        <f t="shared" si="30"/>
        <v>75</v>
      </c>
      <c r="Z39" s="118">
        <f t="shared" si="31"/>
        <v>4125</v>
      </c>
      <c r="AA39" s="168"/>
    </row>
    <row r="40" spans="2:27" ht="23.1" customHeight="1">
      <c r="B40" s="108">
        <f>IFERROR(IF(Arrear!B53="","",IF(Arrear!B53=0,"",Arrear!B53)),"")</f>
        <v>31</v>
      </c>
      <c r="C40" s="110">
        <f>IFERROR(IF(Arrear!C53="","",IF(Arrear!C53=0,"",Arrear!C53)),"")</f>
        <v>45931</v>
      </c>
      <c r="D40" s="108">
        <f>IFERROR(IF(Arrear!D53="","",IF(Arrear!D53=0,"",Arrear!D53)),"")</f>
        <v>65000</v>
      </c>
      <c r="E40" s="108">
        <f>IFERROR(IF(Arrear!E53="","",IF(Arrear!E53=0,"",Arrear!E53)),"")</f>
        <v>37700</v>
      </c>
      <c r="F40" s="108">
        <f>IFERROR(IF(Arrear!F53="","",IF(Arrear!F53=0,"",Arrear!F53)),"")</f>
        <v>6500</v>
      </c>
      <c r="G40" s="167">
        <f t="shared" si="24"/>
        <v>109200</v>
      </c>
      <c r="H40" s="108">
        <f>IFERROR(IF(Arrear!H53="","",IF(Arrear!H53=0,"",Arrear!H53)),"")</f>
        <v>62500</v>
      </c>
      <c r="I40" s="108">
        <f>IFERROR(IF(Arrear!I53="","",IF(Arrear!I53=0,"",Arrear!I53)),"")</f>
        <v>36250</v>
      </c>
      <c r="J40" s="108">
        <f>IFERROR(IF(Arrear!J53="","",IF(Arrear!J53=0,"",Arrear!J53)),"")</f>
        <v>6250</v>
      </c>
      <c r="K40" s="167">
        <f t="shared" si="25"/>
        <v>105000</v>
      </c>
      <c r="L40" s="108">
        <f>IFERROR(IF(Arrear!L53="","",IF(Arrear!L53=0,"",Arrear!L53)),"")</f>
        <v>2500</v>
      </c>
      <c r="M40" s="108">
        <f>IFERROR(IF(Arrear!M53="","",IF(Arrear!M53=0,"",Arrear!M53)),"")</f>
        <v>1450</v>
      </c>
      <c r="N40" s="108">
        <f>IFERROR(IF(Arrear!N53="","",IF(Arrear!N53=0,"",Arrear!N53)),"")</f>
        <v>250</v>
      </c>
      <c r="O40" s="167">
        <f t="shared" si="26"/>
        <v>4200</v>
      </c>
      <c r="P40" s="108" t="str">
        <f>IFERROR(IF(Arrear!P53="","",Arrear!P53),"")</f>
        <v/>
      </c>
      <c r="Q40" s="108" t="str">
        <f>IFERROR(IF(Arrear!Q53="","",Arrear!Q53),"")</f>
        <v/>
      </c>
      <c r="R40" s="167" t="str">
        <f t="shared" si="27"/>
        <v/>
      </c>
      <c r="S40" s="108">
        <f>IFERROR(IF(Arrear!S53="","",Arrear!S53),"")</f>
        <v>875</v>
      </c>
      <c r="T40" s="108">
        <f>IFERROR(IF(Arrear!T53="","",Arrear!T53),"")</f>
        <v>875</v>
      </c>
      <c r="U40" s="167">
        <f t="shared" si="28"/>
        <v>0</v>
      </c>
      <c r="V40" s="108">
        <f>IFERROR(IF(Arrear!V53="","",Arrear!V53),"")</f>
        <v>0</v>
      </c>
      <c r="W40" s="108" t="str">
        <f>IFERROR(IF(Arrear!W53="","",Arrear!W53),"")</f>
        <v/>
      </c>
      <c r="X40" s="167">
        <f t="shared" si="29"/>
        <v>0</v>
      </c>
      <c r="Y40" s="119">
        <f t="shared" si="30"/>
        <v>0</v>
      </c>
      <c r="Z40" s="118">
        <f t="shared" si="31"/>
        <v>4200</v>
      </c>
      <c r="AA40" s="168"/>
    </row>
    <row r="41" spans="2:27" ht="23.1" customHeight="1">
      <c r="B41" s="108">
        <f>IFERROR(IF(Arrear!B54="","",IF(Arrear!B54=0,"",Arrear!B54)),"")</f>
        <v>32</v>
      </c>
      <c r="C41" s="110">
        <f>IFERROR(IF(Arrear!C54="","",IF(Arrear!C54=0,"",Arrear!C54)),"")</f>
        <v>45962</v>
      </c>
      <c r="D41" s="108">
        <f>IFERROR(IF(Arrear!D54="","",IF(Arrear!D54=0,"",Arrear!D54)),"")</f>
        <v>65000</v>
      </c>
      <c r="E41" s="108">
        <f>IFERROR(IF(Arrear!E54="","",IF(Arrear!E54=0,"",Arrear!E54)),"")</f>
        <v>37700</v>
      </c>
      <c r="F41" s="108">
        <f>IFERROR(IF(Arrear!F54="","",IF(Arrear!F54=0,"",Arrear!F54)),"")</f>
        <v>6500</v>
      </c>
      <c r="G41" s="167">
        <f t="shared" si="24"/>
        <v>109200</v>
      </c>
      <c r="H41" s="108">
        <f>IFERROR(IF(Arrear!H54="","",IF(Arrear!H54=0,"",Arrear!H54)),"")</f>
        <v>62500</v>
      </c>
      <c r="I41" s="108">
        <f>IFERROR(IF(Arrear!I54="","",IF(Arrear!I54=0,"",Arrear!I54)),"")</f>
        <v>36250</v>
      </c>
      <c r="J41" s="108">
        <f>IFERROR(IF(Arrear!J54="","",IF(Arrear!J54=0,"",Arrear!J54)),"")</f>
        <v>6250</v>
      </c>
      <c r="K41" s="167">
        <f t="shared" si="25"/>
        <v>105000</v>
      </c>
      <c r="L41" s="108">
        <f>IFERROR(IF(Arrear!L54="","",IF(Arrear!L54=0,"",Arrear!L54)),"")</f>
        <v>2500</v>
      </c>
      <c r="M41" s="108">
        <f>IFERROR(IF(Arrear!M54="","",IF(Arrear!M54=0,"",Arrear!M54)),"")</f>
        <v>1450</v>
      </c>
      <c r="N41" s="108">
        <f>IFERROR(IF(Arrear!N54="","",IF(Arrear!N54=0,"",Arrear!N54)),"")</f>
        <v>250</v>
      </c>
      <c r="O41" s="167">
        <f t="shared" si="26"/>
        <v>4200</v>
      </c>
      <c r="P41" s="108" t="str">
        <f>IFERROR(IF(Arrear!P54="","",Arrear!P54),"")</f>
        <v/>
      </c>
      <c r="Q41" s="108" t="str">
        <f>IFERROR(IF(Arrear!Q54="","",Arrear!Q54),"")</f>
        <v/>
      </c>
      <c r="R41" s="167" t="str">
        <f t="shared" si="27"/>
        <v/>
      </c>
      <c r="S41" s="108">
        <f>IFERROR(IF(Arrear!S54="","",Arrear!S54),"")</f>
        <v>875</v>
      </c>
      <c r="T41" s="108">
        <f>IFERROR(IF(Arrear!T54="","",Arrear!T54),"")</f>
        <v>875</v>
      </c>
      <c r="U41" s="167">
        <f t="shared" si="28"/>
        <v>0</v>
      </c>
      <c r="V41" s="108">
        <f>IFERROR(IF(Arrear!V54="","",Arrear!V54),"")</f>
        <v>0</v>
      </c>
      <c r="W41" s="108" t="str">
        <f>IFERROR(IF(Arrear!W54="","",Arrear!W54),"")</f>
        <v/>
      </c>
      <c r="X41" s="167">
        <f t="shared" si="29"/>
        <v>0</v>
      </c>
      <c r="Y41" s="119">
        <f t="shared" si="30"/>
        <v>0</v>
      </c>
      <c r="Z41" s="118">
        <f t="shared" si="31"/>
        <v>4200</v>
      </c>
      <c r="AA41" s="168"/>
    </row>
    <row r="42" spans="2:27" ht="23.1" customHeight="1">
      <c r="B42" s="108">
        <f>IFERROR(IF(Arrear!B55="","",IF(Arrear!B55=0,"",Arrear!B55)),"")</f>
        <v>33</v>
      </c>
      <c r="C42" s="110">
        <f>IFERROR(IF(Arrear!C55="","",IF(Arrear!C55=0,"",Arrear!C55)),"")</f>
        <v>45992</v>
      </c>
      <c r="D42" s="108">
        <f>IFERROR(IF(Arrear!D55="","",IF(Arrear!D55=0,"",Arrear!D55)),"")</f>
        <v>65000</v>
      </c>
      <c r="E42" s="108">
        <f>IFERROR(IF(Arrear!E55="","",IF(Arrear!E55=0,"",Arrear!E55)),"")</f>
        <v>37700</v>
      </c>
      <c r="F42" s="108">
        <f>IFERROR(IF(Arrear!F55="","",IF(Arrear!F55=0,"",Arrear!F55)),"")</f>
        <v>6500</v>
      </c>
      <c r="G42" s="167">
        <f t="shared" si="24"/>
        <v>109200</v>
      </c>
      <c r="H42" s="108">
        <f>IFERROR(IF(Arrear!H55="","",IF(Arrear!H55=0,"",Arrear!H55)),"")</f>
        <v>62500</v>
      </c>
      <c r="I42" s="108">
        <f>IFERROR(IF(Arrear!I55="","",IF(Arrear!I55=0,"",Arrear!I55)),"")</f>
        <v>36250</v>
      </c>
      <c r="J42" s="108">
        <f>IFERROR(IF(Arrear!J55="","",IF(Arrear!J55=0,"",Arrear!J55)),"")</f>
        <v>6250</v>
      </c>
      <c r="K42" s="167">
        <f t="shared" si="25"/>
        <v>105000</v>
      </c>
      <c r="L42" s="108">
        <f>IFERROR(IF(Arrear!L55="","",IF(Arrear!L55=0,"",Arrear!L55)),"")</f>
        <v>2500</v>
      </c>
      <c r="M42" s="108">
        <f>IFERROR(IF(Arrear!M55="","",IF(Arrear!M55=0,"",Arrear!M55)),"")</f>
        <v>1450</v>
      </c>
      <c r="N42" s="108">
        <f>IFERROR(IF(Arrear!N55="","",IF(Arrear!N55=0,"",Arrear!N55)),"")</f>
        <v>250</v>
      </c>
      <c r="O42" s="167">
        <f t="shared" si="26"/>
        <v>4200</v>
      </c>
      <c r="P42" s="108" t="str">
        <f>IFERROR(IF(Arrear!P55="","",Arrear!P55),"")</f>
        <v/>
      </c>
      <c r="Q42" s="108" t="str">
        <f>IFERROR(IF(Arrear!Q55="","",Arrear!Q55),"")</f>
        <v/>
      </c>
      <c r="R42" s="167" t="str">
        <f t="shared" si="27"/>
        <v/>
      </c>
      <c r="S42" s="108">
        <f>IFERROR(IF(Arrear!S55="","",Arrear!S55),"")</f>
        <v>875</v>
      </c>
      <c r="T42" s="108">
        <f>IFERROR(IF(Arrear!T55="","",Arrear!T55),"")</f>
        <v>875</v>
      </c>
      <c r="U42" s="167">
        <f t="shared" si="28"/>
        <v>0</v>
      </c>
      <c r="V42" s="108">
        <f>IFERROR(IF(Arrear!V55="","",Arrear!V55),"")</f>
        <v>0</v>
      </c>
      <c r="W42" s="108" t="str">
        <f>IFERROR(IF(Arrear!W55="","",Arrear!W55),"")</f>
        <v/>
      </c>
      <c r="X42" s="167">
        <f t="shared" si="29"/>
        <v>0</v>
      </c>
      <c r="Y42" s="119">
        <f t="shared" si="30"/>
        <v>0</v>
      </c>
      <c r="Z42" s="118">
        <f t="shared" si="31"/>
        <v>4200</v>
      </c>
      <c r="AA42" s="168"/>
    </row>
    <row r="43" spans="2:27" ht="54.95" customHeight="1">
      <c r="B43" s="320" t="s">
        <v>156</v>
      </c>
      <c r="C43" s="320"/>
      <c r="D43" s="122">
        <f>IFERROR(IF(AND($F$4="",$M$4="",$M$3="",$Q$3="",$C$2=""),"",SUM(D10:D42)),"")</f>
        <v>2015683</v>
      </c>
      <c r="E43" s="122">
        <f t="shared" ref="E43:Z43" si="32">IFERROR(IF(AND($F$4="",$M$4="",$M$3="",$Q$3="",$C$2=""),"",SUM(E10:E42)),"")</f>
        <v>1043987</v>
      </c>
      <c r="F43" s="122">
        <f t="shared" si="32"/>
        <v>190359</v>
      </c>
      <c r="G43" s="122">
        <f t="shared" si="32"/>
        <v>3250029</v>
      </c>
      <c r="H43" s="122">
        <f t="shared" si="32"/>
        <v>1937947</v>
      </c>
      <c r="I43" s="122">
        <f t="shared" si="32"/>
        <v>1003754</v>
      </c>
      <c r="J43" s="122">
        <f t="shared" si="32"/>
        <v>183021</v>
      </c>
      <c r="K43" s="122">
        <f t="shared" si="32"/>
        <v>3124722</v>
      </c>
      <c r="L43" s="122">
        <f t="shared" si="32"/>
        <v>77736</v>
      </c>
      <c r="M43" s="122">
        <f t="shared" si="32"/>
        <v>40233</v>
      </c>
      <c r="N43" s="122">
        <f t="shared" si="32"/>
        <v>7338</v>
      </c>
      <c r="O43" s="122">
        <f t="shared" si="32"/>
        <v>125307</v>
      </c>
      <c r="P43" s="122">
        <f t="shared" si="32"/>
        <v>30658</v>
      </c>
      <c r="Q43" s="122">
        <f t="shared" si="32"/>
        <v>29473</v>
      </c>
      <c r="R43" s="122">
        <f t="shared" si="32"/>
        <v>1185</v>
      </c>
      <c r="S43" s="122">
        <f t="shared" si="32"/>
        <v>28875</v>
      </c>
      <c r="T43" s="122">
        <f t="shared" si="32"/>
        <v>28875</v>
      </c>
      <c r="U43" s="122">
        <f t="shared" si="32"/>
        <v>0</v>
      </c>
      <c r="V43" s="122">
        <f t="shared" si="32"/>
        <v>0</v>
      </c>
      <c r="W43" s="122">
        <f t="shared" si="32"/>
        <v>0</v>
      </c>
      <c r="X43" s="122">
        <f t="shared" si="32"/>
        <v>0</v>
      </c>
      <c r="Y43" s="122">
        <f t="shared" si="32"/>
        <v>1185</v>
      </c>
      <c r="Z43" s="122">
        <f t="shared" si="32"/>
        <v>124122</v>
      </c>
      <c r="AA43" s="122"/>
    </row>
    <row r="44" spans="2:27" ht="9" customHeight="1">
      <c r="B44" s="5"/>
      <c r="C44" s="5"/>
      <c r="D44" s="5"/>
      <c r="E44" s="5"/>
      <c r="F44" s="5"/>
      <c r="G44" s="5"/>
      <c r="H44" s="5"/>
      <c r="I44" s="5"/>
      <c r="J44" s="5"/>
      <c r="K44" s="5"/>
      <c r="L44" s="5"/>
      <c r="M44" s="5"/>
      <c r="N44" s="5"/>
      <c r="O44" s="5"/>
      <c r="P44" s="5"/>
      <c r="Q44" s="5"/>
      <c r="R44" s="5"/>
      <c r="S44" s="5"/>
      <c r="T44" s="5"/>
      <c r="U44" s="5"/>
      <c r="V44" s="5"/>
      <c r="W44" s="5"/>
      <c r="X44" s="5"/>
      <c r="Y44" s="5"/>
      <c r="Z44" s="5"/>
      <c r="AA44" s="5"/>
    </row>
    <row r="45" spans="2:27" ht="17.25">
      <c r="B45" s="5"/>
      <c r="C45" s="5"/>
      <c r="D45" s="5"/>
      <c r="E45" s="5"/>
      <c r="F45" s="5"/>
      <c r="G45" s="5"/>
      <c r="H45" s="352" t="s">
        <v>173</v>
      </c>
      <c r="I45" s="352"/>
      <c r="J45" s="352"/>
      <c r="K45" s="352"/>
      <c r="L45" s="352"/>
      <c r="M45" s="348" t="s">
        <v>204</v>
      </c>
      <c r="N45" s="348"/>
      <c r="O45" s="348"/>
      <c r="P45" s="348"/>
      <c r="Q45" s="348"/>
      <c r="R45" s="348"/>
      <c r="S45" s="348"/>
      <c r="T45" s="348"/>
      <c r="U45" s="348"/>
      <c r="V45" s="348"/>
      <c r="W45" s="348"/>
      <c r="X45" s="348"/>
      <c r="Y45" s="348"/>
      <c r="Z45" s="348"/>
      <c r="AA45" s="348"/>
    </row>
    <row r="46" spans="2:27" ht="13.5" customHeight="1">
      <c r="B46" s="5"/>
      <c r="C46" s="5"/>
      <c r="D46" s="5"/>
      <c r="E46" s="5"/>
      <c r="F46" s="5"/>
      <c r="G46" s="5"/>
      <c r="H46" s="5"/>
      <c r="I46" s="5"/>
      <c r="J46" s="5"/>
      <c r="K46" s="5"/>
      <c r="L46" s="5"/>
      <c r="M46" s="5"/>
      <c r="N46" s="5"/>
      <c r="O46" s="5"/>
      <c r="P46" s="5"/>
      <c r="Q46" s="5"/>
      <c r="R46" s="5"/>
      <c r="S46" s="5"/>
      <c r="T46" s="5"/>
      <c r="U46" s="351"/>
      <c r="V46" s="351"/>
      <c r="W46" s="351"/>
      <c r="X46" s="351"/>
      <c r="Y46" s="351"/>
      <c r="Z46" s="351"/>
      <c r="AA46" s="351"/>
    </row>
    <row r="47" spans="2:27" ht="21" customHeight="1">
      <c r="B47" s="5"/>
      <c r="C47" s="346" t="s">
        <v>180</v>
      </c>
      <c r="D47" s="347"/>
      <c r="E47" s="353" t="s">
        <v>181</v>
      </c>
      <c r="F47" s="354"/>
      <c r="G47" s="346" t="s">
        <v>182</v>
      </c>
      <c r="H47" s="347"/>
      <c r="I47" s="346" t="s">
        <v>192</v>
      </c>
      <c r="J47" s="347"/>
      <c r="K47" s="346" t="s">
        <v>183</v>
      </c>
      <c r="L47" s="347"/>
      <c r="M47" s="5"/>
      <c r="N47" s="5"/>
      <c r="O47" s="5"/>
      <c r="P47" s="5"/>
      <c r="Q47" s="5"/>
      <c r="R47" s="5"/>
      <c r="S47" s="5"/>
      <c r="T47" s="5"/>
      <c r="U47" s="289" t="str">
        <f>IFERROR(CONCATENATE("( ",IF('Master Sheet'!D9="","",UPPER('Master Sheet'!D9))," ) ",),"")</f>
        <v xml:space="preserve">( USHA PALIYA ) </v>
      </c>
      <c r="V47" s="289"/>
      <c r="W47" s="289"/>
      <c r="X47" s="289"/>
      <c r="Y47" s="289"/>
      <c r="Z47" s="289"/>
      <c r="AA47" s="289"/>
    </row>
    <row r="48" spans="2:27" ht="15.75">
      <c r="B48" s="5"/>
      <c r="C48" s="355">
        <f>IF(G43="","",G43)</f>
        <v>3250029</v>
      </c>
      <c r="D48" s="355"/>
      <c r="E48" s="355">
        <f>IF(K43="","",K43)</f>
        <v>3124722</v>
      </c>
      <c r="F48" s="355"/>
      <c r="G48" s="356">
        <f>IF(O43="","",O43)</f>
        <v>125307</v>
      </c>
      <c r="H48" s="356"/>
      <c r="I48" s="357">
        <f>IF(Y43="","",Y43)</f>
        <v>1185</v>
      </c>
      <c r="J48" s="357"/>
      <c r="K48" s="358">
        <f>IF(Z43="","",Z43)</f>
        <v>124122</v>
      </c>
      <c r="L48" s="358"/>
      <c r="M48" s="5"/>
      <c r="N48" s="5"/>
      <c r="O48" s="5"/>
      <c r="P48" s="5"/>
      <c r="Q48" s="5"/>
      <c r="R48" s="5"/>
      <c r="S48" s="5"/>
      <c r="T48" s="5"/>
      <c r="U48" s="349" t="s">
        <v>174</v>
      </c>
      <c r="V48" s="349"/>
      <c r="W48" s="349"/>
      <c r="X48" s="349"/>
      <c r="Y48" s="349"/>
      <c r="Z48" s="349"/>
      <c r="AA48" s="349"/>
    </row>
    <row r="49" spans="2:27">
      <c r="B49" s="5"/>
      <c r="C49" s="355"/>
      <c r="D49" s="355"/>
      <c r="E49" s="355"/>
      <c r="F49" s="355"/>
      <c r="G49" s="356"/>
      <c r="H49" s="356"/>
      <c r="I49" s="357"/>
      <c r="J49" s="357"/>
      <c r="K49" s="358"/>
      <c r="L49" s="358"/>
      <c r="M49" s="5"/>
      <c r="N49" s="5"/>
      <c r="O49" s="5"/>
      <c r="P49" s="5"/>
      <c r="Q49" s="5"/>
      <c r="R49" s="5"/>
      <c r="S49" s="5"/>
      <c r="T49" s="5"/>
      <c r="U49" s="350" t="str">
        <f>IFERROR(CONCATENATE(IF('Master Sheet'!D7="","",('Master Sheet'!D7))," , ",IF('Master Sheet'!Q9="","",'Master Sheet'!Q9)),"")</f>
        <v>Mahatma Gandhi Government School (English Medium) Bar, (Beawar) , 11111</v>
      </c>
      <c r="V49" s="350"/>
      <c r="W49" s="350"/>
      <c r="X49" s="350"/>
      <c r="Y49" s="350"/>
      <c r="Z49" s="350"/>
      <c r="AA49" s="350"/>
    </row>
    <row r="50" spans="2:27">
      <c r="B50" s="5"/>
      <c r="C50" s="5"/>
      <c r="D50" s="5"/>
      <c r="E50" s="5"/>
      <c r="F50" s="5"/>
      <c r="G50" s="5"/>
      <c r="H50" s="5"/>
      <c r="I50" s="5"/>
      <c r="J50" s="5"/>
      <c r="K50" s="5"/>
      <c r="L50" s="5"/>
      <c r="M50" s="5"/>
      <c r="N50" s="5"/>
      <c r="O50" s="5"/>
      <c r="P50" s="5"/>
      <c r="Q50" s="5"/>
      <c r="R50" s="5"/>
      <c r="S50" s="5"/>
      <c r="T50" s="5"/>
      <c r="U50" s="350"/>
      <c r="V50" s="350"/>
      <c r="W50" s="350"/>
      <c r="X50" s="350"/>
      <c r="Y50" s="350"/>
      <c r="Z50" s="350"/>
      <c r="AA50" s="350"/>
    </row>
    <row r="51" spans="2:27" ht="18.75">
      <c r="B51" s="131" t="s">
        <v>175</v>
      </c>
      <c r="C51" s="361"/>
      <c r="D51" s="361"/>
      <c r="E51" s="361"/>
      <c r="F51" s="361"/>
      <c r="G51" s="361"/>
      <c r="H51" s="123"/>
      <c r="I51" s="132" t="s">
        <v>121</v>
      </c>
      <c r="J51" s="362">
        <f ca="1">TODAY()</f>
        <v>45973</v>
      </c>
      <c r="K51" s="362"/>
      <c r="L51" s="5"/>
      <c r="M51" s="5"/>
      <c r="N51" s="5"/>
      <c r="O51" s="5"/>
      <c r="P51" s="5"/>
      <c r="Q51" s="5"/>
      <c r="R51" s="5"/>
      <c r="S51" s="5"/>
      <c r="T51" s="5"/>
      <c r="U51" s="5"/>
      <c r="V51" s="5"/>
      <c r="W51" s="5"/>
      <c r="X51" s="5"/>
      <c r="Y51" s="5"/>
      <c r="Z51" s="5"/>
      <c r="AA51" s="5"/>
    </row>
    <row r="52" spans="2:27" ht="15.75">
      <c r="B52" s="363" t="s">
        <v>176</v>
      </c>
      <c r="C52" s="363"/>
      <c r="D52" s="363"/>
      <c r="E52" s="363"/>
      <c r="F52" s="363"/>
      <c r="G52" s="363"/>
      <c r="H52" s="363"/>
      <c r="I52" s="5"/>
      <c r="J52" s="5"/>
      <c r="K52" s="5"/>
      <c r="L52" s="5"/>
      <c r="M52" s="5"/>
      <c r="N52" s="5"/>
      <c r="O52" s="5"/>
      <c r="P52" s="5"/>
      <c r="Q52" s="5"/>
      <c r="R52" s="5"/>
      <c r="S52" s="5"/>
      <c r="T52" s="5"/>
      <c r="U52" s="5"/>
      <c r="V52" s="5"/>
      <c r="W52" s="5"/>
      <c r="X52" s="5"/>
      <c r="Y52" s="5"/>
      <c r="Z52" s="5"/>
      <c r="AA52" s="5"/>
    </row>
    <row r="53" spans="2:27" ht="18.75">
      <c r="B53" s="124">
        <v>1</v>
      </c>
      <c r="C53" s="364" t="s">
        <v>177</v>
      </c>
      <c r="D53" s="364"/>
      <c r="E53" s="364"/>
      <c r="F53" s="364"/>
      <c r="G53" s="364"/>
      <c r="H53" s="364"/>
      <c r="I53" s="123"/>
      <c r="J53" s="125"/>
      <c r="K53" s="5"/>
      <c r="L53" s="126"/>
      <c r="M53" s="126"/>
      <c r="N53" s="126"/>
      <c r="O53" s="126"/>
      <c r="P53" s="126"/>
      <c r="Q53" s="5"/>
      <c r="R53" s="5"/>
      <c r="S53" s="5"/>
      <c r="T53" s="5"/>
      <c r="U53" s="351"/>
      <c r="V53" s="351"/>
      <c r="W53" s="351"/>
      <c r="X53" s="351"/>
      <c r="Y53" s="351"/>
      <c r="Z53" s="351"/>
      <c r="AA53" s="351"/>
    </row>
    <row r="54" spans="2:27" ht="18.75">
      <c r="B54" s="127">
        <v>2</v>
      </c>
      <c r="C54" s="359" t="s">
        <v>178</v>
      </c>
      <c r="D54" s="359"/>
      <c r="E54" s="359"/>
      <c r="F54" s="359"/>
      <c r="G54" s="360" t="str">
        <f>IFERROR(CONCATENATE(IF($F$4="","",$F$4),",  ",IF($M$4="","",$M$4)),"")</f>
        <v>HEERALAL JAT,  Sr. Teacher</v>
      </c>
      <c r="H54" s="360"/>
      <c r="I54" s="360"/>
      <c r="J54" s="360"/>
      <c r="K54" s="360"/>
      <c r="L54" s="360"/>
      <c r="M54" s="360"/>
      <c r="N54" s="360"/>
      <c r="O54" s="130"/>
      <c r="P54" s="130"/>
      <c r="Q54" s="5"/>
      <c r="R54" s="5"/>
      <c r="S54" s="5"/>
      <c r="T54" s="5"/>
      <c r="U54" s="289" t="str">
        <f>IFERROR(CONCATENATE("( ",IF('Master Sheet'!D9="","",UPPER('Master Sheet'!D9))," ) ",),"")</f>
        <v xml:space="preserve">( USHA PALIYA ) </v>
      </c>
      <c r="V54" s="289"/>
      <c r="W54" s="289"/>
      <c r="X54" s="289"/>
      <c r="Y54" s="289"/>
      <c r="Z54" s="289"/>
      <c r="AA54" s="289"/>
    </row>
    <row r="55" spans="2:27" ht="18.75">
      <c r="B55" s="124">
        <v>3</v>
      </c>
      <c r="C55" s="359" t="s">
        <v>179</v>
      </c>
      <c r="D55" s="359"/>
      <c r="E55" s="128"/>
      <c r="F55" s="128"/>
      <c r="G55" s="163"/>
      <c r="H55" s="163"/>
      <c r="I55" s="163"/>
      <c r="J55" s="163"/>
      <c r="K55" s="163"/>
      <c r="L55" s="163"/>
      <c r="M55" s="163"/>
      <c r="N55" s="163"/>
      <c r="O55" s="163"/>
      <c r="P55" s="163"/>
      <c r="Q55" s="5"/>
      <c r="R55" s="5"/>
      <c r="S55" s="5"/>
      <c r="T55" s="5"/>
      <c r="U55" s="349" t="s">
        <v>174</v>
      </c>
      <c r="V55" s="349"/>
      <c r="W55" s="349"/>
      <c r="X55" s="349"/>
      <c r="Y55" s="349"/>
      <c r="Z55" s="349"/>
      <c r="AA55" s="349"/>
    </row>
    <row r="56" spans="2:27">
      <c r="B56" s="5"/>
      <c r="C56" s="5"/>
      <c r="D56" s="5"/>
      <c r="E56" s="5"/>
      <c r="F56" s="5"/>
      <c r="G56" s="5"/>
      <c r="H56" s="5"/>
      <c r="I56" s="5"/>
      <c r="J56" s="5"/>
      <c r="K56" s="5"/>
      <c r="L56" s="5"/>
      <c r="M56" s="5"/>
      <c r="N56" s="5"/>
      <c r="O56" s="5"/>
      <c r="P56" s="5"/>
      <c r="Q56" s="5"/>
      <c r="R56" s="5"/>
      <c r="S56" s="5"/>
      <c r="T56" s="5"/>
      <c r="U56" s="350" t="str">
        <f>IFERROR(CONCATENATE(IF('Master Sheet'!D7="","",('Master Sheet'!D7))," , ",IF('Master Sheet'!Q9="","",'Master Sheet'!Q9)),"")</f>
        <v>Mahatma Gandhi Government School (English Medium) Bar, (Beawar) , 11111</v>
      </c>
      <c r="V56" s="350"/>
      <c r="W56" s="350"/>
      <c r="X56" s="350"/>
      <c r="Y56" s="350"/>
      <c r="Z56" s="350"/>
      <c r="AA56" s="350"/>
    </row>
    <row r="57" spans="2:27">
      <c r="B57" s="5"/>
      <c r="C57" s="5"/>
      <c r="D57" s="5"/>
      <c r="E57" s="5"/>
      <c r="F57" s="5"/>
      <c r="G57" s="5"/>
      <c r="H57" s="5"/>
      <c r="I57" s="5"/>
      <c r="J57" s="5"/>
      <c r="K57" s="5"/>
      <c r="L57" s="5"/>
      <c r="M57" s="5"/>
      <c r="N57" s="5"/>
      <c r="O57" s="5"/>
      <c r="P57" s="5"/>
      <c r="Q57" s="5"/>
      <c r="R57" s="5"/>
      <c r="S57" s="5"/>
      <c r="T57" s="5"/>
      <c r="U57" s="350"/>
      <c r="V57" s="350"/>
      <c r="W57" s="350"/>
      <c r="X57" s="350"/>
      <c r="Y57" s="350"/>
      <c r="Z57" s="350"/>
      <c r="AA57" s="350"/>
    </row>
    <row r="58" spans="2:27"/>
    <row r="59" spans="2:27"/>
    <row r="60" spans="2:27"/>
    <row r="61" spans="2:27"/>
    <row r="62" spans="2:27"/>
    <row r="63" spans="2:27"/>
    <row r="64" spans="2:27"/>
    <row r="65"/>
    <row r="66"/>
  </sheetData>
  <mergeCells count="63">
    <mergeCell ref="C2:AA2"/>
    <mergeCell ref="J3:L3"/>
    <mergeCell ref="M3:O3"/>
    <mergeCell ref="Q3:S3"/>
    <mergeCell ref="C4:E4"/>
    <mergeCell ref="F4:J4"/>
    <mergeCell ref="K4:L4"/>
    <mergeCell ref="M4:O4"/>
    <mergeCell ref="P4:R4"/>
    <mergeCell ref="S4:AA5"/>
    <mergeCell ref="K5:R5"/>
    <mergeCell ref="B7:B9"/>
    <mergeCell ref="C7:C9"/>
    <mergeCell ref="D7:G7"/>
    <mergeCell ref="H7:K7"/>
    <mergeCell ref="L7:O7"/>
    <mergeCell ref="D8:D9"/>
    <mergeCell ref="E8:E9"/>
    <mergeCell ref="F8:F9"/>
    <mergeCell ref="G8:G9"/>
    <mergeCell ref="P7:X7"/>
    <mergeCell ref="L8:L9"/>
    <mergeCell ref="M8:M9"/>
    <mergeCell ref="N8:N9"/>
    <mergeCell ref="H45:L45"/>
    <mergeCell ref="M45:AA45"/>
    <mergeCell ref="Y7:Y9"/>
    <mergeCell ref="AA7:AA9"/>
    <mergeCell ref="H8:H9"/>
    <mergeCell ref="I8:I9"/>
    <mergeCell ref="J8:J9"/>
    <mergeCell ref="K8:K9"/>
    <mergeCell ref="Z7:Z9"/>
    <mergeCell ref="O8:O9"/>
    <mergeCell ref="P8:R8"/>
    <mergeCell ref="S8:U8"/>
    <mergeCell ref="V8:X8"/>
    <mergeCell ref="B43:C43"/>
    <mergeCell ref="U48:AA48"/>
    <mergeCell ref="U49:AA50"/>
    <mergeCell ref="U46:AA46"/>
    <mergeCell ref="C47:D47"/>
    <mergeCell ref="E47:F47"/>
    <mergeCell ref="G47:H47"/>
    <mergeCell ref="I47:J47"/>
    <mergeCell ref="K47:L47"/>
    <mergeCell ref="U47:AA47"/>
    <mergeCell ref="C48:D49"/>
    <mergeCell ref="E48:F49"/>
    <mergeCell ref="G48:H49"/>
    <mergeCell ref="I48:J49"/>
    <mergeCell ref="K48:L49"/>
    <mergeCell ref="C55:D55"/>
    <mergeCell ref="U55:AA55"/>
    <mergeCell ref="U56:AA57"/>
    <mergeCell ref="C51:G51"/>
    <mergeCell ref="J51:K51"/>
    <mergeCell ref="B52:H52"/>
    <mergeCell ref="C53:H53"/>
    <mergeCell ref="U53:AA53"/>
    <mergeCell ref="C54:F54"/>
    <mergeCell ref="G54:N54"/>
    <mergeCell ref="U54:AA54"/>
  </mergeCells>
  <pageMargins left="0.45" right="0.2" top="0.25" bottom="0.25" header="0.3" footer="0.3"/>
  <pageSetup paperSize="9" scale="78" fitToHeight="2"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Master Sheet</vt:lpstr>
      <vt:lpstr>DATA ENTRY</vt:lpstr>
      <vt:lpstr>Pay Chart</vt:lpstr>
      <vt:lpstr>Option Form</vt:lpstr>
      <vt:lpstr>New MACP FITTING</vt:lpstr>
      <vt:lpstr>Revised MACP FITTING</vt:lpstr>
      <vt:lpstr>Arrear</vt:lpstr>
      <vt:lpstr>Unlock Arrear sheet</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lpstr>Level</vt:lpstr>
      <vt:lpstr>month</vt:lpstr>
      <vt:lpstr>Arrear!Print_Area</vt:lpstr>
      <vt:lpstr>'New MACP FITTING'!Print_Area</vt:lpstr>
      <vt:lpstr>'Option Form'!Print_Area</vt:lpstr>
      <vt:lpstr>'Revised MACP FITTING'!Print_Area</vt:lpstr>
      <vt:lpstr>'Unlock Arrear sheet'!Print_Area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2025-11-12T16:24:51Z</dcterms:modified>
</cp:coreProperties>
</file>