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741"/>
  </bookViews>
  <sheets>
    <sheet name="Basic Data Entry" sheetId="1" r:id="rId1"/>
    <sheet name="MACP Order" sheetId="2" r:id="rId2"/>
    <sheet name="Salary Arear Table" sheetId="3" r:id="rId3"/>
    <sheet name="Surrender Arear" sheetId="8" r:id="rId4"/>
    <sheet name="MACP Application" sheetId="4" r:id="rId5"/>
    <sheet name="MACP Optio Form" sheetId="5" r:id="rId6"/>
    <sheet name="Pay Matrix Chart" sheetId="6" r:id="rId7"/>
    <sheet name="Sheet1" sheetId="7" state="hidden" r:id="rId8"/>
  </sheets>
  <definedNames>
    <definedName name="_xlnm.Print_Area" localSheetId="0">'Basic Data Entry'!#REF!</definedName>
    <definedName name="_xlnm.Print_Area" localSheetId="4">'MACP Application'!$B$2:$B$20</definedName>
    <definedName name="_xlnm.Print_Area" localSheetId="5">'MACP Optio Form'!$A$1:$E$24</definedName>
    <definedName name="_xlnm.Print_Area" localSheetId="1">'MACP Order'!$A$1:$Q$32</definedName>
    <definedName name="_xlnm.Print_Area" localSheetId="6">'Pay Matrix Chart'!$B$2:$Z$47</definedName>
    <definedName name="_xlnm.Print_Area" localSheetId="2">'Salary Arear Table'!$T$4:$AX$33</definedName>
    <definedName name="_xlnm.Print_Area" localSheetId="3">'Surrender Arear'!$P$4:$AT$33</definedName>
    <definedName name="_xlnm.Print_Titles" localSheetId="2">'Salary Arear Table'!$9:$10</definedName>
    <definedName name="_xlnm.Print_Titles" localSheetId="3">'Surrender Arear'!$9:$10</definedName>
  </definedNames>
  <calcPr calcId="124519" concurrentCalc="0"/>
</workbook>
</file>

<file path=xl/calcChain.xml><?xml version="1.0" encoding="utf-8"?>
<calcChain xmlns="http://schemas.openxmlformats.org/spreadsheetml/2006/main">
  <c r="AS20" i="8"/>
  <c r="AQ20"/>
  <c r="AP20"/>
  <c r="AO20"/>
  <c r="AN20"/>
  <c r="AL20"/>
  <c r="AK20"/>
  <c r="Z20"/>
  <c r="Y20"/>
  <c r="U20"/>
  <c r="T20"/>
  <c r="R20"/>
  <c r="L20"/>
  <c r="J20"/>
  <c r="AI20"/>
  <c r="AH20"/>
  <c r="AJ20"/>
  <c r="AR20"/>
  <c r="AG20"/>
  <c r="AS21"/>
  <c r="AR21"/>
  <c r="AQ21"/>
  <c r="AP21"/>
  <c r="AO21"/>
  <c r="AN21"/>
  <c r="Q20"/>
  <c r="AM20" a="1"/>
  <c r="AM20"/>
  <c r="AM21"/>
  <c r="AL21"/>
  <c r="AK21"/>
  <c r="AJ21"/>
  <c r="AI21"/>
  <c r="AH21"/>
  <c r="AG21"/>
  <c r="AF20"/>
  <c r="AF21"/>
  <c r="AE20"/>
  <c r="AE21"/>
  <c r="AD21"/>
  <c r="AC20"/>
  <c r="AC21"/>
  <c r="AB20"/>
  <c r="AB21"/>
  <c r="AA20"/>
  <c r="AA21"/>
  <c r="Z21"/>
  <c r="Y21"/>
  <c r="X20"/>
  <c r="X21"/>
  <c r="M20"/>
  <c r="W20"/>
  <c r="W21"/>
  <c r="V20"/>
  <c r="V21"/>
  <c r="U21"/>
  <c r="T21"/>
  <c r="S20"/>
  <c r="S21"/>
  <c r="R21"/>
  <c r="N11"/>
  <c r="N12"/>
  <c r="N13"/>
  <c r="N14"/>
  <c r="N15"/>
  <c r="N16"/>
  <c r="N17"/>
  <c r="N20"/>
  <c r="N18"/>
  <c r="N19"/>
  <c r="Q19"/>
  <c r="Q18"/>
  <c r="Q17"/>
  <c r="Q16"/>
  <c r="Q15"/>
  <c r="Q14"/>
  <c r="Q13"/>
  <c r="Q12"/>
  <c r="AT19"/>
  <c r="AS19"/>
  <c r="AR19"/>
  <c r="AQ19"/>
  <c r="AP19"/>
  <c r="AO19"/>
  <c r="AN19"/>
  <c r="AM19"/>
  <c r="AL19"/>
  <c r="AK19"/>
  <c r="AJ19"/>
  <c r="AI19"/>
  <c r="AH19"/>
  <c r="AG19"/>
  <c r="AF19"/>
  <c r="AE19"/>
  <c r="AD19"/>
  <c r="AC19"/>
  <c r="AB19"/>
  <c r="AA19"/>
  <c r="Z19"/>
  <c r="Y19"/>
  <c r="X19"/>
  <c r="W19"/>
  <c r="V19"/>
  <c r="U19"/>
  <c r="T19"/>
  <c r="S19"/>
  <c r="R19"/>
  <c r="AT18"/>
  <c r="AS18"/>
  <c r="AR18"/>
  <c r="AQ18"/>
  <c r="AP18"/>
  <c r="AO18"/>
  <c r="AN18"/>
  <c r="AM18"/>
  <c r="AL18"/>
  <c r="AK18"/>
  <c r="AJ18"/>
  <c r="AI18"/>
  <c r="AH18"/>
  <c r="AG18"/>
  <c r="AF18"/>
  <c r="AE18"/>
  <c r="AD18"/>
  <c r="AC18"/>
  <c r="AB18"/>
  <c r="AA18"/>
  <c r="Z18"/>
  <c r="Y18"/>
  <c r="X18"/>
  <c r="W18"/>
  <c r="V18"/>
  <c r="U18"/>
  <c r="T18"/>
  <c r="S18"/>
  <c r="R18"/>
  <c r="AT17"/>
  <c r="AS17"/>
  <c r="AR17"/>
  <c r="AQ17"/>
  <c r="AP17"/>
  <c r="AO17"/>
  <c r="AN17"/>
  <c r="AM17"/>
  <c r="AL17"/>
  <c r="AK17"/>
  <c r="AJ17"/>
  <c r="AI17"/>
  <c r="AH17"/>
  <c r="AG17"/>
  <c r="AF17"/>
  <c r="AE17"/>
  <c r="AD17"/>
  <c r="AC17"/>
  <c r="AB17"/>
  <c r="AA17"/>
  <c r="Z17"/>
  <c r="Y17"/>
  <c r="X17"/>
  <c r="W17"/>
  <c r="V17"/>
  <c r="U17"/>
  <c r="T17"/>
  <c r="S17"/>
  <c r="R17"/>
  <c r="AT16"/>
  <c r="AS16"/>
  <c r="AR16"/>
  <c r="AQ16"/>
  <c r="AP16"/>
  <c r="AO16"/>
  <c r="AN16"/>
  <c r="AM16"/>
  <c r="AL16"/>
  <c r="AK16"/>
  <c r="AJ16"/>
  <c r="AI16"/>
  <c r="AH16"/>
  <c r="AG16"/>
  <c r="AF16"/>
  <c r="AE16"/>
  <c r="AD16"/>
  <c r="AC16"/>
  <c r="AB16"/>
  <c r="AA16"/>
  <c r="Z16"/>
  <c r="Y16"/>
  <c r="X16"/>
  <c r="W16"/>
  <c r="V16"/>
  <c r="U16"/>
  <c r="T16"/>
  <c r="S16"/>
  <c r="R16"/>
  <c r="AT15"/>
  <c r="AS15"/>
  <c r="AR15"/>
  <c r="AQ15"/>
  <c r="AP15"/>
  <c r="AO15"/>
  <c r="AN15"/>
  <c r="AM15"/>
  <c r="AL15"/>
  <c r="AK15"/>
  <c r="AJ15"/>
  <c r="AI15"/>
  <c r="AH15"/>
  <c r="AG15"/>
  <c r="AF15"/>
  <c r="AE15"/>
  <c r="AD15"/>
  <c r="AC15"/>
  <c r="AB15"/>
  <c r="AA15"/>
  <c r="Z15"/>
  <c r="Y15"/>
  <c r="X15"/>
  <c r="W15"/>
  <c r="V15"/>
  <c r="U15"/>
  <c r="T15"/>
  <c r="S15"/>
  <c r="R15"/>
  <c r="AT14"/>
  <c r="AS14"/>
  <c r="AR14"/>
  <c r="AQ14"/>
  <c r="AP14"/>
  <c r="AO14"/>
  <c r="AN14"/>
  <c r="AM14"/>
  <c r="AL14"/>
  <c r="AK14"/>
  <c r="AJ14"/>
  <c r="AI14"/>
  <c r="AH14"/>
  <c r="AG14"/>
  <c r="AF14"/>
  <c r="AE14"/>
  <c r="AD14"/>
  <c r="AC14"/>
  <c r="AB14"/>
  <c r="AA14"/>
  <c r="Z14"/>
  <c r="Y14"/>
  <c r="X14"/>
  <c r="W14"/>
  <c r="V14"/>
  <c r="U14"/>
  <c r="T14"/>
  <c r="S14"/>
  <c r="R14"/>
  <c r="AT13"/>
  <c r="AS13"/>
  <c r="AR13"/>
  <c r="AQ13"/>
  <c r="AP13"/>
  <c r="AO13"/>
  <c r="AN13"/>
  <c r="AM13"/>
  <c r="AL13"/>
  <c r="AK13"/>
  <c r="AJ13"/>
  <c r="AI13"/>
  <c r="AH13"/>
  <c r="AG13"/>
  <c r="AF13"/>
  <c r="AE13"/>
  <c r="AD13"/>
  <c r="AC13"/>
  <c r="AB13"/>
  <c r="AA13"/>
  <c r="Z13"/>
  <c r="Y13"/>
  <c r="X13"/>
  <c r="W13"/>
  <c r="V13"/>
  <c r="U13"/>
  <c r="T13"/>
  <c r="S13"/>
  <c r="R13"/>
  <c r="AT12"/>
  <c r="AS12"/>
  <c r="AR12"/>
  <c r="AQ12"/>
  <c r="AP12"/>
  <c r="AO12"/>
  <c r="AN12"/>
  <c r="AM12"/>
  <c r="AL12"/>
  <c r="AK12"/>
  <c r="AJ12"/>
  <c r="AI12"/>
  <c r="AH12"/>
  <c r="AG12"/>
  <c r="AF12"/>
  <c r="AE12"/>
  <c r="AD12"/>
  <c r="AC12"/>
  <c r="AB12"/>
  <c r="AA12"/>
  <c r="Z12"/>
  <c r="Y12"/>
  <c r="X12"/>
  <c r="W12"/>
  <c r="V12"/>
  <c r="U12"/>
  <c r="T12"/>
  <c r="S12"/>
  <c r="R12"/>
  <c r="AT11"/>
  <c r="AS11"/>
  <c r="AR11"/>
  <c r="AQ11"/>
  <c r="AP11"/>
  <c r="AO11"/>
  <c r="AN11"/>
  <c r="AM11"/>
  <c r="AL11"/>
  <c r="AK11"/>
  <c r="AJ11"/>
  <c r="AI11"/>
  <c r="AH11"/>
  <c r="AG11"/>
  <c r="AF11"/>
  <c r="AE11"/>
  <c r="AD11"/>
  <c r="AC11"/>
  <c r="AB11"/>
  <c r="AA11"/>
  <c r="Z11"/>
  <c r="Y11"/>
  <c r="X11"/>
  <c r="W11"/>
  <c r="V11"/>
  <c r="U11"/>
  <c r="T11"/>
  <c r="S11"/>
  <c r="R11"/>
  <c r="P11"/>
  <c r="P12"/>
  <c r="J12"/>
  <c r="M11"/>
  <c r="J11"/>
  <c r="M12"/>
  <c r="P13"/>
  <c r="J13"/>
  <c r="M13"/>
  <c r="P14"/>
  <c r="J14"/>
  <c r="M14"/>
  <c r="P15"/>
  <c r="J15"/>
  <c r="M15"/>
  <c r="P16"/>
  <c r="J16"/>
  <c r="M16"/>
  <c r="P17"/>
  <c r="J17"/>
  <c r="M17"/>
  <c r="P18"/>
  <c r="J18"/>
  <c r="P19"/>
  <c r="J19"/>
  <c r="Q11"/>
  <c r="AU20" i="3"/>
  <c r="AU19"/>
  <c r="AU18"/>
  <c r="AU17"/>
  <c r="AU16"/>
  <c r="AU15"/>
  <c r="AU14"/>
  <c r="AU13"/>
  <c r="AU12"/>
  <c r="AU11"/>
  <c r="AU21" a="1"/>
  <c r="AU21"/>
  <c r="AB20"/>
  <c r="W20"/>
  <c r="AW21" a="1"/>
  <c r="AG20"/>
  <c r="AK20"/>
  <c r="AV20"/>
  <c r="AW20"/>
  <c r="AV11"/>
  <c r="AW11"/>
  <c r="AV12"/>
  <c r="AW12"/>
  <c r="AV13"/>
  <c r="AW13"/>
  <c r="AV14"/>
  <c r="AW14"/>
  <c r="AV15"/>
  <c r="AW15"/>
  <c r="AV16"/>
  <c r="AW16"/>
  <c r="AV17"/>
  <c r="AW17"/>
  <c r="AV18"/>
  <c r="AW18"/>
  <c r="AV19"/>
  <c r="AW19"/>
  <c r="AW21"/>
  <c r="AV21" a="1"/>
  <c r="AV21"/>
  <c r="AT21" a="1"/>
  <c r="AT21"/>
  <c r="AS21" a="1"/>
  <c r="AS21"/>
  <c r="AR21" a="1"/>
  <c r="AR21"/>
  <c r="AQ21" a="1"/>
  <c r="AQ21"/>
  <c r="AP21" a="1"/>
  <c r="AP21"/>
  <c r="AO21" a="1"/>
  <c r="AO21"/>
  <c r="AN21" a="1"/>
  <c r="AN21"/>
  <c r="AM21" a="1"/>
  <c r="AM21"/>
  <c r="AL21" a="1"/>
  <c r="AL21"/>
  <c r="AK21" a="1"/>
  <c r="AK21"/>
  <c r="AJ21" a="1"/>
  <c r="AJ21"/>
  <c r="AI21" a="1"/>
  <c r="AI21"/>
  <c r="AH21" a="1"/>
  <c r="AH21"/>
  <c r="AG21" a="1"/>
  <c r="AG21"/>
  <c r="AF21" a="1"/>
  <c r="AF21"/>
  <c r="AE21" a="1"/>
  <c r="AE20"/>
  <c r="AE21"/>
  <c r="AD21" a="1"/>
  <c r="AD21"/>
  <c r="AC21" a="1"/>
  <c r="AC21"/>
  <c r="AB21" a="1"/>
  <c r="AB21"/>
  <c r="AA21" a="1"/>
  <c r="AA21"/>
  <c r="Z21" a="1"/>
  <c r="Z20" a="1"/>
  <c r="Z20"/>
  <c r="Z21"/>
  <c r="Y21" a="1"/>
  <c r="Y21"/>
  <c r="X21" a="1"/>
  <c r="X21"/>
  <c r="W21" a="1"/>
  <c r="W21"/>
  <c r="V21" a="1"/>
  <c r="V21"/>
  <c r="AI20"/>
  <c r="D11"/>
  <c r="Q11"/>
  <c r="U11"/>
  <c r="J11"/>
  <c r="AH11"/>
  <c r="N11"/>
  <c r="K11"/>
  <c r="O11"/>
  <c r="P12"/>
  <c r="L11"/>
  <c r="Q12"/>
  <c r="U12"/>
  <c r="J12"/>
  <c r="AH12"/>
  <c r="P13"/>
  <c r="Q13"/>
  <c r="U13"/>
  <c r="J13"/>
  <c r="AH13"/>
  <c r="P14"/>
  <c r="Q14"/>
  <c r="U14"/>
  <c r="J14"/>
  <c r="T11"/>
  <c r="T12"/>
  <c r="T13"/>
  <c r="T14"/>
  <c r="M11"/>
  <c r="M12"/>
  <c r="M13"/>
  <c r="M14"/>
  <c r="V14"/>
  <c r="AH14"/>
  <c r="P15"/>
  <c r="Q15"/>
  <c r="U15"/>
  <c r="J15"/>
  <c r="T15"/>
  <c r="M15"/>
  <c r="V15"/>
  <c r="AH15"/>
  <c r="P16"/>
  <c r="Q16"/>
  <c r="U16"/>
  <c r="J16"/>
  <c r="T16"/>
  <c r="M16"/>
  <c r="V16"/>
  <c r="AH16"/>
  <c r="P17"/>
  <c r="Q17"/>
  <c r="U17"/>
  <c r="J17"/>
  <c r="T17"/>
  <c r="M17"/>
  <c r="V17"/>
  <c r="AH17"/>
  <c r="P18"/>
  <c r="Q18"/>
  <c r="U18"/>
  <c r="J18"/>
  <c r="AH18"/>
  <c r="P19"/>
  <c r="Q19"/>
  <c r="U19"/>
  <c r="J19"/>
  <c r="AH19"/>
  <c r="P20"/>
  <c r="Q20"/>
  <c r="U20"/>
  <c r="J20"/>
  <c r="AH20"/>
  <c r="M18"/>
  <c r="M19"/>
  <c r="M20"/>
  <c r="T18"/>
  <c r="T19"/>
  <c r="T20"/>
  <c r="V20"/>
  <c r="X12"/>
  <c r="X13"/>
  <c r="X14"/>
  <c r="X15"/>
  <c r="X16"/>
  <c r="X17"/>
  <c r="X18"/>
  <c r="X19"/>
  <c r="X20"/>
  <c r="Y20" a="1"/>
  <c r="Y20"/>
  <c r="AA11"/>
  <c r="AA12"/>
  <c r="AA13"/>
  <c r="AA14"/>
  <c r="AA15"/>
  <c r="AA16"/>
  <c r="AA17"/>
  <c r="AA18"/>
  <c r="AA19"/>
  <c r="AA20"/>
  <c r="AD20"/>
  <c r="AF20"/>
  <c r="AJ20"/>
  <c r="AL20"/>
  <c r="AM20"/>
  <c r="AN20"/>
  <c r="AO12"/>
  <c r="AO13"/>
  <c r="AO14"/>
  <c r="AO15"/>
  <c r="AO16"/>
  <c r="AO17"/>
  <c r="AO18"/>
  <c r="AO19"/>
  <c r="AO20"/>
  <c r="AP11"/>
  <c r="AP12"/>
  <c r="AP13"/>
  <c r="AP14"/>
  <c r="AP15"/>
  <c r="AP16"/>
  <c r="AP17"/>
  <c r="AP18"/>
  <c r="AP19"/>
  <c r="AP20"/>
  <c r="AQ20" a="1"/>
  <c r="AQ20"/>
  <c r="AR12"/>
  <c r="AR13"/>
  <c r="AR14"/>
  <c r="AR15"/>
  <c r="AR16"/>
  <c r="AR17"/>
  <c r="AR18"/>
  <c r="AR19"/>
  <c r="AR20"/>
  <c r="AS11"/>
  <c r="AS12"/>
  <c r="AS13"/>
  <c r="AS14"/>
  <c r="AS15"/>
  <c r="AS16"/>
  <c r="AS17"/>
  <c r="AS18"/>
  <c r="AS19"/>
  <c r="AS20"/>
  <c r="AT20"/>
  <c r="B42" i="8"/>
  <c r="B41"/>
  <c r="B40"/>
  <c r="B39"/>
  <c r="B38"/>
  <c r="B37"/>
  <c r="B36"/>
  <c r="D11"/>
  <c r="E11"/>
  <c r="F11"/>
  <c r="G11"/>
  <c r="H11"/>
  <c r="I11"/>
  <c r="K11"/>
  <c r="L11"/>
  <c r="M18"/>
  <c r="M19"/>
  <c r="X23"/>
  <c r="X24"/>
  <c r="X25"/>
  <c r="X26"/>
  <c r="X27"/>
  <c r="X28"/>
  <c r="X29"/>
  <c r="X30"/>
  <c r="X31"/>
  <c r="X32"/>
  <c r="X33"/>
  <c r="Y10"/>
  <c r="AE10"/>
  <c r="R26"/>
  <c r="AI8"/>
  <c r="AE8"/>
  <c r="AM7"/>
  <c r="T7"/>
  <c r="P4"/>
  <c r="AT2"/>
  <c r="AG2"/>
  <c r="AA2"/>
  <c r="U2"/>
  <c r="B20" i="4"/>
  <c r="B4"/>
  <c r="B42" i="3"/>
  <c r="B41"/>
  <c r="B40"/>
  <c r="B39"/>
  <c r="B38"/>
  <c r="B37"/>
  <c r="B36"/>
  <c r="E11"/>
  <c r="F11"/>
  <c r="G11"/>
  <c r="H11"/>
  <c r="I11"/>
  <c r="V11"/>
  <c r="AF11"/>
  <c r="V12"/>
  <c r="AF12"/>
  <c r="V13"/>
  <c r="AF13"/>
  <c r="AF14"/>
  <c r="AF15"/>
  <c r="AF16"/>
  <c r="AF17"/>
  <c r="V18"/>
  <c r="AF18"/>
  <c r="V19"/>
  <c r="AF19"/>
  <c r="AB23"/>
  <c r="W11"/>
  <c r="AB11"/>
  <c r="AG11"/>
  <c r="W12"/>
  <c r="AB12"/>
  <c r="AG12"/>
  <c r="W13"/>
  <c r="AB13"/>
  <c r="AG13"/>
  <c r="W14"/>
  <c r="AB14"/>
  <c r="AG14"/>
  <c r="W15"/>
  <c r="AB15"/>
  <c r="AG15"/>
  <c r="W16"/>
  <c r="AB16"/>
  <c r="AG16"/>
  <c r="W17"/>
  <c r="AB17"/>
  <c r="AG17"/>
  <c r="W18"/>
  <c r="AB18"/>
  <c r="AG18"/>
  <c r="W19"/>
  <c r="AB19"/>
  <c r="AG19"/>
  <c r="AB24"/>
  <c r="Y11"/>
  <c r="AD11"/>
  <c r="AJ11"/>
  <c r="Y12" a="1"/>
  <c r="Y12"/>
  <c r="AD12"/>
  <c r="AJ12"/>
  <c r="Y13" a="1"/>
  <c r="Y13"/>
  <c r="AD13"/>
  <c r="AJ13"/>
  <c r="Y14" a="1"/>
  <c r="Y14"/>
  <c r="AD14"/>
  <c r="AJ14"/>
  <c r="Y15" a="1"/>
  <c r="Y15"/>
  <c r="AD15"/>
  <c r="AJ15"/>
  <c r="Y16" a="1"/>
  <c r="Y16"/>
  <c r="AD16"/>
  <c r="AJ16"/>
  <c r="Y17" a="1"/>
  <c r="Y17"/>
  <c r="AD17"/>
  <c r="AJ17"/>
  <c r="Y18" a="1"/>
  <c r="Y18"/>
  <c r="AD18"/>
  <c r="AJ18"/>
  <c r="Y19" a="1"/>
  <c r="Y19"/>
  <c r="AD19"/>
  <c r="AJ19"/>
  <c r="AB25"/>
  <c r="AI11"/>
  <c r="AI12"/>
  <c r="AI13"/>
  <c r="AI14"/>
  <c r="AI15"/>
  <c r="AI16"/>
  <c r="AI17"/>
  <c r="AI18"/>
  <c r="AI19"/>
  <c r="AB26"/>
  <c r="AB27"/>
  <c r="AL11"/>
  <c r="AM11"/>
  <c r="AN11"/>
  <c r="AL12"/>
  <c r="AM12"/>
  <c r="AN12"/>
  <c r="AL13"/>
  <c r="AM13"/>
  <c r="AN13"/>
  <c r="AL14"/>
  <c r="AM14"/>
  <c r="AN14"/>
  <c r="AL15"/>
  <c r="AM15"/>
  <c r="AN15"/>
  <c r="AL16"/>
  <c r="AM16"/>
  <c r="AN16"/>
  <c r="AL17"/>
  <c r="AM17"/>
  <c r="AN17"/>
  <c r="AL18"/>
  <c r="AM18"/>
  <c r="AN18"/>
  <c r="AL19"/>
  <c r="AM19"/>
  <c r="AN19"/>
  <c r="AB28"/>
  <c r="AQ11"/>
  <c r="AQ12" a="1"/>
  <c r="AQ12"/>
  <c r="AQ13" a="1"/>
  <c r="AQ13"/>
  <c r="AQ14" a="1"/>
  <c r="AQ15" a="1"/>
  <c r="AQ16" a="1"/>
  <c r="AQ17" a="1"/>
  <c r="AQ18" a="1"/>
  <c r="AQ19" a="1"/>
  <c r="AQ14"/>
  <c r="AQ15"/>
  <c r="AQ16"/>
  <c r="AQ17"/>
  <c r="AQ18"/>
  <c r="AQ19"/>
  <c r="AB29"/>
  <c r="AK11"/>
  <c r="AT11"/>
  <c r="AK12"/>
  <c r="AT12"/>
  <c r="AK13"/>
  <c r="AT13"/>
  <c r="AK14"/>
  <c r="AT14"/>
  <c r="AK15"/>
  <c r="AT15"/>
  <c r="AK16"/>
  <c r="AT16"/>
  <c r="AK17"/>
  <c r="AT17"/>
  <c r="AK18"/>
  <c r="AT18"/>
  <c r="AK19"/>
  <c r="AT19"/>
  <c r="AB30"/>
  <c r="AB31"/>
  <c r="AB32"/>
  <c r="AB33"/>
  <c r="AC10"/>
  <c r="AI10"/>
  <c r="V26"/>
  <c r="AE11"/>
  <c r="AE12"/>
  <c r="AE13"/>
  <c r="AE14"/>
  <c r="AE15"/>
  <c r="AE16"/>
  <c r="AE17"/>
  <c r="AE18"/>
  <c r="AE19"/>
  <c r="Z11"/>
  <c r="Z12" a="1"/>
  <c r="Z12"/>
  <c r="Z13" a="1"/>
  <c r="Z13"/>
  <c r="Z14" a="1"/>
  <c r="Z15" a="1"/>
  <c r="Z16" a="1"/>
  <c r="Z17" a="1"/>
  <c r="Z18" a="1"/>
  <c r="Z19" a="1"/>
  <c r="Z14"/>
  <c r="Z15"/>
  <c r="Z16"/>
  <c r="Z17"/>
  <c r="Z18"/>
  <c r="Z19"/>
  <c r="AM8"/>
  <c r="AI8"/>
  <c r="AQ7"/>
  <c r="X7"/>
  <c r="T4"/>
  <c r="AX2"/>
  <c r="AK2"/>
  <c r="AE2"/>
  <c r="Y2"/>
  <c r="M30" i="2"/>
  <c r="B25"/>
  <c r="M24"/>
  <c r="O22"/>
  <c r="N22"/>
  <c r="M22"/>
  <c r="K22"/>
  <c r="J22"/>
  <c r="I22"/>
  <c r="P21"/>
  <c r="O21"/>
  <c r="N21"/>
  <c r="M21"/>
  <c r="L21"/>
  <c r="K21"/>
  <c r="J21"/>
  <c r="I21"/>
  <c r="H21"/>
  <c r="G21"/>
  <c r="F21"/>
  <c r="E21"/>
  <c r="D21"/>
  <c r="C21"/>
  <c r="B21"/>
  <c r="O20"/>
  <c r="N20"/>
  <c r="M20"/>
  <c r="K20"/>
  <c r="J20"/>
  <c r="I20"/>
  <c r="P19"/>
  <c r="O19"/>
  <c r="N19"/>
  <c r="M19"/>
  <c r="L19"/>
  <c r="K19"/>
  <c r="J19"/>
  <c r="I19"/>
  <c r="H19"/>
  <c r="G19"/>
  <c r="F19"/>
  <c r="E19"/>
  <c r="D19"/>
  <c r="C19"/>
  <c r="B19"/>
  <c r="O18"/>
  <c r="N18"/>
  <c r="M18"/>
  <c r="K18"/>
  <c r="J18"/>
  <c r="I18"/>
  <c r="P17"/>
  <c r="O17"/>
  <c r="N17"/>
  <c r="M17"/>
  <c r="L17"/>
  <c r="K17"/>
  <c r="J17"/>
  <c r="I17"/>
  <c r="H17"/>
  <c r="G17"/>
  <c r="F17"/>
  <c r="E17"/>
  <c r="D17"/>
  <c r="C17"/>
  <c r="B17"/>
  <c r="O16"/>
  <c r="N16"/>
  <c r="M16"/>
  <c r="K16"/>
  <c r="J16"/>
  <c r="I16"/>
  <c r="P15"/>
  <c r="O15"/>
  <c r="N15"/>
  <c r="M15"/>
  <c r="L15"/>
  <c r="K15"/>
  <c r="J15"/>
  <c r="I15"/>
  <c r="H15"/>
  <c r="G15"/>
  <c r="F15"/>
  <c r="E15"/>
  <c r="D15"/>
  <c r="C15"/>
  <c r="B15"/>
  <c r="O14"/>
  <c r="N14"/>
  <c r="M14"/>
  <c r="K14"/>
  <c r="J14"/>
  <c r="I14"/>
  <c r="P13"/>
  <c r="O13"/>
  <c r="N13"/>
  <c r="M13"/>
  <c r="L13"/>
  <c r="K13"/>
  <c r="J13"/>
  <c r="I13"/>
  <c r="H13"/>
  <c r="G13"/>
  <c r="F13"/>
  <c r="E13"/>
  <c r="D13"/>
  <c r="C13"/>
  <c r="B13"/>
  <c r="O12"/>
  <c r="N12"/>
  <c r="M12"/>
  <c r="K12"/>
  <c r="J12"/>
  <c r="I12"/>
  <c r="P11"/>
  <c r="O11"/>
  <c r="N11"/>
  <c r="M11"/>
  <c r="L11"/>
  <c r="K11"/>
  <c r="J11"/>
  <c r="I11"/>
  <c r="H11"/>
  <c r="G11"/>
  <c r="F11"/>
  <c r="E11"/>
  <c r="D11"/>
  <c r="C11"/>
  <c r="B11"/>
  <c r="O10"/>
  <c r="N10"/>
  <c r="M10"/>
  <c r="K10"/>
  <c r="J10"/>
  <c r="I10"/>
  <c r="P9"/>
  <c r="O9"/>
  <c r="N9"/>
  <c r="M9"/>
  <c r="L9"/>
  <c r="K9"/>
  <c r="J9"/>
  <c r="I9"/>
  <c r="H9"/>
  <c r="G9"/>
  <c r="F9"/>
  <c r="E9"/>
  <c r="D9"/>
  <c r="C9"/>
  <c r="B9"/>
  <c r="B2"/>
  <c r="Y30" i="1"/>
  <c r="Y29"/>
  <c r="Y28"/>
  <c r="Y27"/>
  <c r="Y26"/>
  <c r="Y25"/>
  <c r="Y24"/>
  <c r="Y23"/>
  <c r="Y22"/>
  <c r="BA20"/>
  <c r="S20"/>
  <c r="Q20"/>
  <c r="P20"/>
  <c r="M20"/>
  <c r="L20"/>
  <c r="K20"/>
  <c r="J20"/>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A19"/>
  <c r="AZ19"/>
  <c r="AY19"/>
  <c r="AX19"/>
  <c r="AW19"/>
  <c r="AV19"/>
  <c r="AU19"/>
  <c r="AT19"/>
  <c r="AS19"/>
  <c r="AR19"/>
  <c r="AQ19"/>
  <c r="AP19"/>
  <c r="AO19"/>
  <c r="AN19"/>
  <c r="AM19"/>
  <c r="AL19"/>
  <c r="AK19"/>
  <c r="AJ19"/>
  <c r="AI19"/>
  <c r="AH19"/>
  <c r="AG19"/>
  <c r="AF19"/>
  <c r="AE19"/>
  <c r="AD19"/>
  <c r="U19"/>
  <c r="T19"/>
  <c r="S19"/>
  <c r="R19"/>
  <c r="Q19"/>
  <c r="P19"/>
  <c r="O19"/>
  <c r="N19"/>
  <c r="M19"/>
  <c r="L19"/>
  <c r="K19"/>
  <c r="J19"/>
  <c r="I19"/>
  <c r="BA18"/>
  <c r="S18"/>
  <c r="Q18"/>
  <c r="P18"/>
  <c r="M18"/>
  <c r="L18"/>
  <c r="K18"/>
  <c r="J18"/>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A17"/>
  <c r="AZ17"/>
  <c r="AY17"/>
  <c r="AX17"/>
  <c r="AW17"/>
  <c r="AV17"/>
  <c r="AU17"/>
  <c r="AT17"/>
  <c r="AS17"/>
  <c r="AR17"/>
  <c r="AQ17"/>
  <c r="AP17"/>
  <c r="AO17"/>
  <c r="AN17"/>
  <c r="AM17"/>
  <c r="AL17"/>
  <c r="AK17"/>
  <c r="AJ17"/>
  <c r="AI17"/>
  <c r="AH17"/>
  <c r="AG17"/>
  <c r="AF17"/>
  <c r="AE17"/>
  <c r="AD17"/>
  <c r="U17"/>
  <c r="T17"/>
  <c r="S17"/>
  <c r="R17"/>
  <c r="Q17"/>
  <c r="P17"/>
  <c r="O17"/>
  <c r="N17"/>
  <c r="M17"/>
  <c r="L17"/>
  <c r="K17"/>
  <c r="J17"/>
  <c r="I17"/>
  <c r="BA16"/>
  <c r="S16"/>
  <c r="Q16"/>
  <c r="P16"/>
  <c r="M16"/>
  <c r="L16"/>
  <c r="K16"/>
  <c r="J16"/>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A15"/>
  <c r="AZ15"/>
  <c r="AY15"/>
  <c r="AX15"/>
  <c r="AW15"/>
  <c r="AV15"/>
  <c r="AU15"/>
  <c r="AT15"/>
  <c r="AS15"/>
  <c r="AR15"/>
  <c r="AQ15"/>
  <c r="AP15"/>
  <c r="AO15"/>
  <c r="AN15"/>
  <c r="AM15"/>
  <c r="AL15"/>
  <c r="AK15"/>
  <c r="AJ15"/>
  <c r="AI15"/>
  <c r="AH15"/>
  <c r="AG15"/>
  <c r="AF15"/>
  <c r="AE15"/>
  <c r="AD15"/>
  <c r="U15"/>
  <c r="T15"/>
  <c r="S15"/>
  <c r="R15"/>
  <c r="Q15"/>
  <c r="P15"/>
  <c r="O15"/>
  <c r="N15"/>
  <c r="M15"/>
  <c r="L15"/>
  <c r="K15"/>
  <c r="J15"/>
  <c r="I15"/>
  <c r="BA14"/>
  <c r="S14"/>
  <c r="Q14"/>
  <c r="P14"/>
  <c r="M14"/>
  <c r="L14"/>
  <c r="K14"/>
  <c r="J14"/>
  <c r="ED13"/>
  <c r="EC13"/>
  <c r="EB13"/>
  <c r="EA13"/>
  <c r="DZ13"/>
  <c r="DY13"/>
  <c r="DX13"/>
  <c r="DW13"/>
  <c r="DV13"/>
  <c r="DU13"/>
  <c r="DT13"/>
  <c r="DS13"/>
  <c r="DR13"/>
  <c r="DQ13"/>
  <c r="DP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A13"/>
  <c r="AZ13"/>
  <c r="AY13"/>
  <c r="AX13"/>
  <c r="AW13"/>
  <c r="AV13"/>
  <c r="AU13"/>
  <c r="AT13"/>
  <c r="AS13"/>
  <c r="AR13"/>
  <c r="AQ13"/>
  <c r="AP13"/>
  <c r="AO13"/>
  <c r="AN13"/>
  <c r="AM13"/>
  <c r="AL13"/>
  <c r="AK13"/>
  <c r="AJ13"/>
  <c r="AI13"/>
  <c r="AH13"/>
  <c r="AG13"/>
  <c r="AF13"/>
  <c r="AE13"/>
  <c r="AD13"/>
  <c r="U13"/>
  <c r="T13"/>
  <c r="S13"/>
  <c r="R13"/>
  <c r="Q13"/>
  <c r="P13"/>
  <c r="O13"/>
  <c r="N13"/>
  <c r="M13"/>
  <c r="L13"/>
  <c r="K13"/>
  <c r="J13"/>
  <c r="I13"/>
  <c r="BA12"/>
  <c r="S12"/>
  <c r="Q12"/>
  <c r="P12"/>
  <c r="M12"/>
  <c r="L12"/>
  <c r="K12"/>
  <c r="J12"/>
  <c r="ED11"/>
  <c r="EC11"/>
  <c r="EB11"/>
  <c r="EA11"/>
  <c r="DZ11"/>
  <c r="DY11"/>
  <c r="DX11"/>
  <c r="DW11"/>
  <c r="DV11"/>
  <c r="DU11"/>
  <c r="DT11"/>
  <c r="DS11"/>
  <c r="DR11"/>
  <c r="DQ11"/>
  <c r="DP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A11"/>
  <c r="AZ11"/>
  <c r="AY11"/>
  <c r="AX11"/>
  <c r="AW11"/>
  <c r="AV11"/>
  <c r="AU11"/>
  <c r="AT11"/>
  <c r="AS11"/>
  <c r="AR11"/>
  <c r="AQ11"/>
  <c r="AP11"/>
  <c r="AO11"/>
  <c r="AN11"/>
  <c r="AM11"/>
  <c r="AL11"/>
  <c r="AK11"/>
  <c r="AJ11"/>
  <c r="AI11"/>
  <c r="AH11"/>
  <c r="AG11"/>
  <c r="AF11"/>
  <c r="AE11"/>
  <c r="AD11"/>
  <c r="U11"/>
  <c r="T11"/>
  <c r="S11"/>
  <c r="R11"/>
  <c r="Q11"/>
  <c r="P11"/>
  <c r="O11"/>
  <c r="N11"/>
  <c r="M11"/>
  <c r="L11"/>
  <c r="K11"/>
  <c r="J11"/>
  <c r="I11"/>
  <c r="BA10"/>
  <c r="S10"/>
  <c r="Q10"/>
  <c r="P10"/>
  <c r="M10"/>
  <c r="L10"/>
  <c r="K10"/>
  <c r="J10"/>
  <c r="ED9"/>
  <c r="EC9"/>
  <c r="EB9"/>
  <c r="EA9"/>
  <c r="DZ9"/>
  <c r="DY9"/>
  <c r="DX9"/>
  <c r="DW9"/>
  <c r="DV9"/>
  <c r="DU9"/>
  <c r="DT9"/>
  <c r="DS9"/>
  <c r="DR9"/>
  <c r="DQ9"/>
  <c r="DP9"/>
  <c r="DO9"/>
  <c r="DN9"/>
  <c r="DM9"/>
  <c r="DL9"/>
  <c r="DK9"/>
  <c r="DJ9"/>
  <c r="DI9"/>
  <c r="DH9"/>
  <c r="DG9"/>
  <c r="DF9"/>
  <c r="DE9"/>
  <c r="DD9"/>
  <c r="DC9"/>
  <c r="DB9"/>
  <c r="DA9"/>
  <c r="CZ9"/>
  <c r="CY9"/>
  <c r="CX9"/>
  <c r="CW9"/>
  <c r="CV9"/>
  <c r="CU9"/>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A9"/>
  <c r="AZ9"/>
  <c r="AY9"/>
  <c r="AX9"/>
  <c r="AW9"/>
  <c r="AV9"/>
  <c r="AU9"/>
  <c r="AT9"/>
  <c r="AS9"/>
  <c r="AR9"/>
  <c r="AQ9"/>
  <c r="AP9"/>
  <c r="AO9"/>
  <c r="AN9"/>
  <c r="AM9"/>
  <c r="AL9"/>
  <c r="AK9"/>
  <c r="AJ9"/>
  <c r="AI9"/>
  <c r="AH9"/>
  <c r="AG9"/>
  <c r="AF9"/>
  <c r="AE9"/>
  <c r="AD9"/>
  <c r="U9"/>
  <c r="T9"/>
  <c r="S9"/>
  <c r="R9"/>
  <c r="Q9"/>
  <c r="P9"/>
  <c r="O9"/>
  <c r="N9"/>
  <c r="M9"/>
  <c r="L9"/>
  <c r="K9"/>
  <c r="J9"/>
  <c r="I9"/>
  <c r="BA8"/>
  <c r="S8"/>
  <c r="Q8"/>
  <c r="P8"/>
  <c r="M8"/>
  <c r="L8"/>
  <c r="K8"/>
  <c r="J8"/>
  <c r="ED7"/>
  <c r="EC7"/>
  <c r="EB7"/>
  <c r="EA7"/>
  <c r="DZ7"/>
  <c r="DY7"/>
  <c r="DX7"/>
  <c r="DW7"/>
  <c r="DV7"/>
  <c r="DU7"/>
  <c r="DT7"/>
  <c r="DS7"/>
  <c r="DR7"/>
  <c r="DQ7"/>
  <c r="DP7"/>
  <c r="DO7"/>
  <c r="DN7"/>
  <c r="DM7"/>
  <c r="DL7"/>
  <c r="DK7"/>
  <c r="DJ7"/>
  <c r="DI7"/>
  <c r="DH7"/>
  <c r="DG7"/>
  <c r="DF7"/>
  <c r="DE7"/>
  <c r="DD7"/>
  <c r="DC7"/>
  <c r="DB7"/>
  <c r="DA7"/>
  <c r="CZ7"/>
  <c r="CY7"/>
  <c r="CX7"/>
  <c r="CW7"/>
  <c r="CV7"/>
  <c r="CU7"/>
  <c r="CT7"/>
  <c r="CS7"/>
  <c r="CR7"/>
  <c r="CQ7"/>
  <c r="CP7"/>
  <c r="CO7"/>
  <c r="CN7"/>
  <c r="CM7"/>
  <c r="CL7"/>
  <c r="CK7"/>
  <c r="CJ7"/>
  <c r="CI7"/>
  <c r="CH7"/>
  <c r="CG7"/>
  <c r="CF7"/>
  <c r="CE7"/>
  <c r="CD7"/>
  <c r="CC7"/>
  <c r="CB7"/>
  <c r="CA7"/>
  <c r="BZ7"/>
  <c r="BY7"/>
  <c r="BX7"/>
  <c r="BW7"/>
  <c r="BV7"/>
  <c r="BU7"/>
  <c r="BT7"/>
  <c r="BS7"/>
  <c r="BR7"/>
  <c r="BQ7"/>
  <c r="BP7"/>
  <c r="BO7"/>
  <c r="BN7"/>
  <c r="BM7"/>
  <c r="BL7"/>
  <c r="BK7"/>
  <c r="BJ7"/>
  <c r="BI7"/>
  <c r="BH7"/>
  <c r="BG7"/>
  <c r="BF7"/>
  <c r="BE7"/>
  <c r="BD7"/>
  <c r="BC7"/>
  <c r="BA7"/>
  <c r="AZ7"/>
  <c r="AY7"/>
  <c r="AX7"/>
  <c r="AW7"/>
  <c r="AV7"/>
  <c r="AU7"/>
  <c r="AT7"/>
  <c r="AS7"/>
  <c r="AR7"/>
  <c r="AQ7"/>
  <c r="AP7"/>
  <c r="AO7"/>
  <c r="AN7"/>
  <c r="AM7"/>
  <c r="AL7"/>
  <c r="AK7"/>
  <c r="AJ7"/>
  <c r="AI7"/>
  <c r="AH7"/>
  <c r="AG7"/>
  <c r="AF7"/>
  <c r="AE7"/>
  <c r="AD7"/>
  <c r="U7"/>
  <c r="T7"/>
  <c r="S7"/>
  <c r="R7"/>
  <c r="Q7"/>
  <c r="P7"/>
  <c r="O7"/>
  <c r="N7"/>
  <c r="M7"/>
  <c r="L7"/>
  <c r="K7"/>
  <c r="J7"/>
  <c r="I7"/>
</calcChain>
</file>

<file path=xl/comments1.xml><?xml version="1.0" encoding="utf-8"?>
<comments xmlns="http://schemas.openxmlformats.org/spreadsheetml/2006/main">
  <authors>
    <author>DELL</author>
  </authors>
  <commentList>
    <comment ref="U9" authorId="0">
      <text>
        <r>
          <rPr>
            <b/>
            <sz val="9"/>
            <color indexed="81"/>
            <rFont val="Tahoma"/>
            <family val="2"/>
          </rPr>
          <t>उम्मेद:
रिक्त Rows को hide करने के लिए किसी अनलॉक खड़ी लाइन को रिक्त सेल से निचे तक सेल तक सलेक्ट करके आगे rows नंबर पर right क्लिक करके hide करें</t>
        </r>
        <r>
          <rPr>
            <sz val="9"/>
            <color indexed="81"/>
            <rFont val="Tahoma"/>
            <family val="2"/>
          </rPr>
          <t xml:space="preserve">
</t>
        </r>
      </text>
    </comment>
  </commentList>
</comments>
</file>

<file path=xl/sharedStrings.xml><?xml version="1.0" encoding="utf-8"?>
<sst xmlns="http://schemas.openxmlformats.org/spreadsheetml/2006/main" count="287" uniqueCount="150">
  <si>
    <t>dkfeZd dk uke %&amp;</t>
  </si>
  <si>
    <t>S. N0.</t>
  </si>
  <si>
    <t>MONTH</t>
  </si>
  <si>
    <t>osru dk vUrj</t>
  </si>
  <si>
    <t>SI</t>
  </si>
  <si>
    <t>INCOME TAX     (TDS)</t>
  </si>
  <si>
    <t>TOTAL DED.</t>
  </si>
  <si>
    <t>NET AMOUNT CASH PAYMENT (ARREAR)</t>
  </si>
  <si>
    <t>Bill Number &amp; Date TV Number &amp; Date</t>
  </si>
  <si>
    <t>BASIC</t>
  </si>
  <si>
    <t>DA</t>
  </si>
  <si>
    <t>HRA</t>
  </si>
  <si>
    <t>TOTAL</t>
  </si>
  <si>
    <t>TO BE  After Fixation</t>
  </si>
  <si>
    <t>Before Fixation</t>
  </si>
  <si>
    <t>DIFF.</t>
  </si>
  <si>
    <t>Total</t>
  </si>
  <si>
    <t>Total Allowances And Deuctions Summry</t>
  </si>
  <si>
    <t>1-</t>
  </si>
  <si>
    <t>Allowances (Difference)</t>
  </si>
  <si>
    <t>Basic</t>
  </si>
  <si>
    <t>3-</t>
  </si>
  <si>
    <t>D.A.</t>
  </si>
  <si>
    <t>H.R.A.</t>
  </si>
  <si>
    <t>gLrk{kj MhMhvks e; eqgj</t>
  </si>
  <si>
    <t>Deductions</t>
  </si>
  <si>
    <t>2-</t>
  </si>
  <si>
    <t>Income Tax</t>
  </si>
  <si>
    <t>NET AMOUNT TO BE PAY</t>
  </si>
  <si>
    <t>osru ,fj;j vUrj rkfydk</t>
  </si>
  <si>
    <t>dkfeZd dk uke</t>
  </si>
  <si>
    <t>¼</t>
  </si>
  <si>
    <t>ls</t>
  </si>
  <si>
    <t>½</t>
  </si>
  <si>
    <t>vof/k</t>
  </si>
  <si>
    <r>
      <t xml:space="preserve">osru fu;fefrdj.k iwoZ </t>
    </r>
    <r>
      <rPr>
        <b/>
        <sz val="9"/>
        <color rgb="FFFFFFFF"/>
        <rFont val="Cambria"/>
      </rPr>
      <t xml:space="preserve">GPF/GPF-2004 </t>
    </r>
    <r>
      <rPr>
        <b/>
        <sz val="12"/>
        <color rgb="FFFFFFFF"/>
        <rFont val="DevLys 010"/>
      </rPr>
      <t>dVkSfr</t>
    </r>
  </si>
  <si>
    <r>
      <t xml:space="preserve">Net Amount in figure:-  </t>
    </r>
    <r>
      <rPr>
        <b/>
        <sz val="14"/>
        <color rgb="FF002060"/>
        <rFont val="Arial"/>
      </rPr>
      <t>Rs. -------------------------------------------------------- Only</t>
    </r>
  </si>
  <si>
    <t>4-</t>
  </si>
  <si>
    <t>in ,oa inLFkkiu LFkku</t>
  </si>
  <si>
    <t>RGHS</t>
  </si>
  <si>
    <t>Teacher</t>
  </si>
  <si>
    <t>,e,lhih i'pkr~ osru tks feyuk gSa</t>
  </si>
  <si>
    <t>,e,lhih iwoZ osru tks feyk gSa</t>
  </si>
  <si>
    <t>GPF (215)</t>
  </si>
  <si>
    <t>Pay Metrix of State Government Servents (Wef 01-10-2017)</t>
  </si>
  <si>
    <t>Existing Pay Band</t>
  </si>
  <si>
    <t>PB-1 (5200-20200)</t>
  </si>
  <si>
    <t>PB-2 (9300-34800)</t>
  </si>
  <si>
    <t>PB-3 (15600-39100)</t>
  </si>
  <si>
    <t>PB-4 (37400-67000)</t>
  </si>
  <si>
    <t>Existing Grade Pay</t>
  </si>
  <si>
    <t>Existing Grade Pay No.</t>
  </si>
  <si>
    <t>9A</t>
  </si>
  <si>
    <t>9B</t>
  </si>
  <si>
    <t>10A</t>
  </si>
  <si>
    <t>23A</t>
  </si>
  <si>
    <t>Level</t>
  </si>
  <si>
    <t>Cell No.</t>
  </si>
  <si>
    <t>Pay Metrix (Amount in Rs.)</t>
  </si>
  <si>
    <t>lsokesa]</t>
  </si>
  <si>
    <t>Jheku ç/kkukpk;Z]</t>
  </si>
  <si>
    <r>
      <t xml:space="preserve">fo"k; %&amp; ,e-,-lh-ih-@,-lh-ih- fu;e 14 </t>
    </r>
    <r>
      <rPr>
        <sz val="14"/>
        <color rgb="FF000000"/>
        <rFont val="Cambria"/>
      </rPr>
      <t xml:space="preserve">(G) </t>
    </r>
    <r>
      <rPr>
        <sz val="16"/>
        <color rgb="FF000000"/>
        <rFont val="DevLys 010"/>
      </rPr>
      <t>fodYi i= çLrqr djus ds laca/k esaA</t>
    </r>
  </si>
  <si>
    <t>egksn;]</t>
  </si>
  <si>
    <t>layXu %&amp;</t>
  </si>
  <si>
    <t>1- fodYi i=A</t>
  </si>
  <si>
    <t>2- ,-lh-ih- vkns'k rFkk ,e-,-lh- ls lacaf/kr uksfVfQds'ku rFkk vkns'kA</t>
  </si>
  <si>
    <t>Hkonh;</t>
  </si>
  <si>
    <r>
      <t xml:space="preserve">        mijksDr fo"k;kUrxZr fuosnu gS fd jkT; ljdkj ds uksfVfQds'ku </t>
    </r>
    <r>
      <rPr>
        <sz val="14"/>
        <color rgb="FF000000"/>
        <rFont val="Cambria"/>
      </rPr>
      <t xml:space="preserve">F.15(1)FD/ Rules/ 2017pt. Dated 06-10-2023 </t>
    </r>
    <r>
      <rPr>
        <sz val="14"/>
        <color rgb="FF000000"/>
        <rFont val="DevLys 010"/>
      </rPr>
      <t xml:space="preserve"> </t>
    </r>
    <r>
      <rPr>
        <sz val="16"/>
        <color rgb="FF000000"/>
        <rFont val="DevLys 010"/>
      </rPr>
      <t xml:space="preserve">ds vUrxZr ,e-,-lh-ih-@,-lh-ih- fu;e 14 </t>
    </r>
    <r>
      <rPr>
        <sz val="16"/>
        <color rgb="FF000000"/>
        <rFont val="Cambria"/>
      </rPr>
      <t xml:space="preserve">(G) </t>
    </r>
    <r>
      <rPr>
        <sz val="16"/>
        <color rgb="FF000000"/>
        <rFont val="DevLys 010"/>
      </rPr>
      <t>fodYi i= çLrqr dj fuosnu gS fd eq&gt;s mDrkuqlkj ifjykHk  fnykus dh d`ik djkosaA</t>
    </r>
  </si>
  <si>
    <t xml:space="preserve"> </t>
  </si>
  <si>
    <r>
      <rPr>
        <u/>
        <sz val="16"/>
        <rFont val="Arial Black"/>
      </rPr>
      <t>FORM OF OPTION FOR MACP ( MACP 2023 See Rules 14(6))</t>
    </r>
  </si>
  <si>
    <t>1.     I………………………………………………………..……………………hereby   elect   the   scheme   of   Medified   Assured Career  Progression  (MACP)  as  per  FD  notification  No.  F.15(1)FD/Rules/2017  Pt.  date  :  06  .10.2023
w.e.f. 1.4.2023.
2.     I……………………………………………………………………….…….hereby   elect   to   continue   Existing   AssurdCaree Progression  as  per  FD  notification  No.15(1)FD/Rules/2017Date  30.12.2017  and  09.12.2017,till  the promotion or next financial upgradation.
Existing Pay Matrix level .....................</t>
  </si>
  <si>
    <t>Signature       :…………………………….</t>
  </si>
  <si>
    <t>Name            :</t>
  </si>
  <si>
    <t>Designation :</t>
  </si>
  <si>
    <t>Office in which employed………………</t>
  </si>
  <si>
    <r>
      <rPr>
        <b/>
        <u/>
        <sz val="18"/>
        <rFont val="Calibri"/>
      </rPr>
      <t>“UNDERTAKING”</t>
    </r>
  </si>
  <si>
    <t xml:space="preserve">          I  hereby  undertakes  that  in  the  event  of  my  pay  having  been  fixed  in  a  manner  contrary  to  the provisions contained in the Rules, as detected subsequently, any excess payment so made shall be refunded by me to the Governmet either by adjustment against future payments dues to me or otherwise.</t>
  </si>
  <si>
    <t>Date/Place…………………………………………….</t>
  </si>
  <si>
    <t>………………………………………………………………………………………………….</t>
  </si>
  <si>
    <t>Date:</t>
  </si>
  <si>
    <t>Received the above declaration</t>
  </si>
  <si>
    <t>Place Signature</t>
  </si>
  <si>
    <t>(Head of the Office)</t>
  </si>
  <si>
    <t>dk;kZy; dk uke %&amp;</t>
  </si>
  <si>
    <t>osru ,fj;j ns; vof/k</t>
  </si>
  <si>
    <t>Pay Matrix Level</t>
  </si>
  <si>
    <t>uohu ,e-,-lh-ih- ds rgr cuus okys osru vUrj ¼,fj;j½ dh vof/k</t>
  </si>
  <si>
    <t>,fj;j esa vk;dj dVkSfr</t>
  </si>
  <si>
    <t>fodYi çLrqr djus dh fnukad</t>
  </si>
  <si>
    <t>to</t>
  </si>
  <si>
    <t>Date</t>
  </si>
  <si>
    <t>Sr. No.</t>
  </si>
  <si>
    <r>
      <t xml:space="preserve">iwoZ esa dh tkus okyh </t>
    </r>
    <r>
      <rPr>
        <b/>
        <sz val="12"/>
        <color rgb="FF002060"/>
        <rFont val="Cambria"/>
      </rPr>
      <t xml:space="preserve">GPF </t>
    </r>
    <r>
      <rPr>
        <b/>
        <sz val="12"/>
        <color rgb="FF002060"/>
        <rFont val="DevLys 010"/>
      </rPr>
      <t>dVkSfr</t>
    </r>
  </si>
  <si>
    <t>Before ACP</t>
  </si>
  <si>
    <t>After ACP</t>
  </si>
  <si>
    <t>After MACP</t>
  </si>
  <si>
    <t>uohu ,e-,-lh-ih- ds rgr fodYi çLrqr djus dh fnukad rFkk lacaf/kr fnukad@osru o`f) fnukad ls fu/kkZfjr osrueku</t>
  </si>
  <si>
    <t>fu/kkZfjr fnukad</t>
  </si>
  <si>
    <t>A</t>
  </si>
  <si>
    <t>B</t>
  </si>
  <si>
    <t>C</t>
  </si>
  <si>
    <t>D</t>
  </si>
  <si>
    <t>,e-,-lh-ih- gsrq fodYi çLrqr djus dh fnukad</t>
  </si>
  <si>
    <r>
      <t>ftl dkfeZd dk osru vUrj ¼,fj;j½ rS;kj djuk gS] mldk p;u djsaA</t>
    </r>
    <r>
      <rPr>
        <b/>
        <sz val="14"/>
        <color rgb="FFFFFF00"/>
        <rFont val="Calibri"/>
      </rPr>
      <t>↓</t>
    </r>
  </si>
  <si>
    <t>¼dkfeZd dk uke%&amp;--------------------------------------½</t>
  </si>
  <si>
    <t>¼in%&amp;--------------------------------------½</t>
  </si>
  <si>
    <t>vkxkeh osru o`f) fnukad</t>
  </si>
  <si>
    <t>Øekad%&amp;</t>
  </si>
  <si>
    <t>fnukad%&amp;--------------------------</t>
  </si>
  <si>
    <r>
      <t xml:space="preserve">&amp;%% </t>
    </r>
    <r>
      <rPr>
        <b/>
        <u/>
        <sz val="28"/>
        <color rgb="FF000000"/>
        <rFont val="DevLys 010"/>
      </rPr>
      <t>dk;kZy; vkns'k</t>
    </r>
    <r>
      <rPr>
        <b/>
        <sz val="28"/>
        <color rgb="FF000000"/>
        <rFont val="DevLys 010"/>
      </rPr>
      <t xml:space="preserve"> %%&amp;</t>
    </r>
  </si>
  <si>
    <t>in ,oa inLFkkiu LFkku%&amp;</t>
  </si>
  <si>
    <t xml:space="preserve">
r`rh;@vfUre vknsf'kr ,-lh-ih- dk çdkj</t>
  </si>
  <si>
    <t>r`rh;@vfUre vknsf'kr
,-lh-ih- ns; fnukad</t>
  </si>
  <si>
    <t>r`rh;@vfUre vknsf'kr ,-lh-ih- ns; fnukad ls Bhd iwoZ osrueku</t>
  </si>
  <si>
    <t>r`rh;@vafre vknsf'kr 
,-lh-ih- ns; fnukad ls Bhd iwoZ osrueku</t>
  </si>
  <si>
    <t>r`rh;@vafre vknsf'kr
,-lh-ih- ns; fnukad</t>
  </si>
  <si>
    <t xml:space="preserve">
r`rh;@vafre vknsf'kr ,-lh-ih- dk çdkj</t>
  </si>
  <si>
    <t>r`rh;@vafre vknsf'kr ,-lh-ih- ds rgr fu/kkZfjr osrueku</t>
  </si>
  <si>
    <t>çfrfyfi lwpukFkZ %&amp;</t>
  </si>
  <si>
    <t>1- midks"kkf/kdkjh@dks"kkf/kdkjh] midks"kky;@dks"kky;------------------------------------------------A</t>
  </si>
  <si>
    <t>2- lacaf/kr dkfeZd lsok fooj.kA</t>
  </si>
  <si>
    <t>3- dk;kZy; jf{kr i=koyhA</t>
  </si>
  <si>
    <t>Teacher 
(GSS Raimalwada)</t>
  </si>
  <si>
    <t>From ACP Date</t>
  </si>
  <si>
    <t>1 Incmnt.</t>
  </si>
  <si>
    <t>2 Incmnt.</t>
  </si>
  <si>
    <t>3 Incmnt.</t>
  </si>
  <si>
    <t>4 Incmnt.</t>
  </si>
  <si>
    <t>5 Incmnt.</t>
  </si>
  <si>
    <t>6 Incmnt.</t>
  </si>
  <si>
    <t>7 Incmnt.</t>
  </si>
  <si>
    <t>8 Incmnt.</t>
  </si>
  <si>
    <t>9 Incmnt.</t>
  </si>
  <si>
    <t>10 Incmnt.</t>
  </si>
  <si>
    <t>fodYi çLrqr djus dh fnukad dks iwoZ fu/kkZfjr ,-lh-ih- ds vUrxZr osrueku</t>
  </si>
  <si>
    <t>ACP Date</t>
  </si>
  <si>
    <t>On Option Date</t>
  </si>
  <si>
    <t>On 
01-07-2023</t>
  </si>
  <si>
    <t>uksV%&amp; gkykafd ;g çksxzke iw.kZ lko/kkuh ls cuk;k x;k gS] fQj Hkh mi;ksxdrkZ fdlh çdkj dh =qfV dh fLFkfr esa vkids foosd dk bLrseky djsaA bls vafre :i nsus ls igys Hkyh&amp;Hkk¡fr :i ls vo'; tk¡p ysosa] fdlh çdkj dh folaxfr vFkok vleatl dh fLFkfr esa fuekZ.kdrkZ ftEesokj ugha gSA</t>
  </si>
  <si>
    <t>uksV%&amp; çekf.kr fd;k tkrk gS fd mDr dkfeZdksa dks ,e-,-lh-ih- ds rgr osru dks la'kksf/kr dj lacaf/kr lsok iqfLrdk esa bUnzkt dj fn;k x;k gS rFkk mDr dkfeZdksa dks fnukad&amp;01-04-2023 ls iwoZ osru ,fj;j dk Hkqxrku ugha fd;k tk;sxkA</t>
  </si>
  <si>
    <t>jkmekfo jk;eyok³k] ckfi.kh ¼tks/kiqj½</t>
  </si>
  <si>
    <t xml:space="preserve">        foRr ¼fu;e½ foHkkx jktLFkku ljdkj dh vf/klwpuk Øekad&amp;,Q-15¼1½,Q-Mh@:Yl@2017 ikVZ fnukad 06-10-2023 ds }kjk jktLFkku flfoy lsok iqujhf{kr osru fu;e&amp;2017 ds fu;e&amp;14 }kjk ,e-,-lh-ih ¼la'kksf/kr vk'okflr dSfj;j çxfr½ ;kstuk ds izko/kku ykxw fd;s tkus ds vuqlj.k esa ,e-,-lh-ih ;kstuk dk fodYi i= izLrqr djus ij jktLFkku flfoy lsok iqujhf{kr osru fu;e&amp;2017 ds fu;e&amp;14 ¼2½¼kkk½ ds vuqlkj fnukad 01-04-2023 ds i'pkr dk;Zjr vFkok lsokfuo`r gks pqds dkfeZdksa dk ,e-,-lh-ih ;kstuk ds vUrxZr iqu% osru fu;ru djus ds mijkUr fuEu fooj.kkuqlkj osru vUrj ¼,fj;j½ dk Hkqxrku fd;k tkrk gSA</t>
  </si>
  <si>
    <t>Click Here</t>
  </si>
  <si>
    <t xml:space="preserve">         foÙk ¼fu;e½ foHkkx jktLFkku ljdkj dh vf/klwpuk Øekad&amp;,Q-15¼1½,Q-Mh@:Yl@2017 ikVZ t;iqj fnukad 06-10-2023 rFkk ih-15¼1½foÙk@fu;e@2017 ikVZ t;iqj fnukad 02-11-2023 ds }kjk jktLFkku flfoy lsok iqujhf{kr osru fu;e&amp;2017 ds fu;e&amp;14 }kjk ,e-,-lh-ih ¼la'kksf/kr vk'okflr dSfj;j çxfr½ ;kstuk ds izko/kku ykxw fd;s tkus ds vuqlj.k esa dk;kZy;%-------------------------------------------------------------------------------------------------------------ds vkns'kkad&amp;----------------------------------------------------------------------------------------------fnukad&amp;----------------------------- dh vuqikyuk esa jktLFkku vf/kuLFk f'k{kk lsok laoxZ ds dkfeZd ftudh 27 o"kZ dh  fu;fer lsok fnukad 31-03-23 rd ;k 31-03-23 ds ckn 27 o"khZ; fu;fer lsok iw.kZ djus ij vk'okflr dSfj;j izxfr ;kstuk ds vUrxZr r`rh; ,-lh-ih- is ysoy&amp;13 esa Lohd`r dh tk pqdh gS ,sls dkfeZdksa }kjk ,e-,-lh-ih ;kstuk dk fodYi i= izLrqr djus ij jktLFkku flfoy lsok iqujhf{kr osru fu;e&amp;2017 ds fu;e&amp;14 ¼2½¼kkk½ ds vuqlkj fnukad 01-04-2023 ds i'pkr dk;Zjr vFkok lsokfuo`r gks pqds dkfeZdksa dk ,e-,-lh-ih ;kstuk ds vUrxZr iqu% osru fu;ru dj osru vkgfjr djus dh Lohd`fr ,rn }kjk çnku dh tkrh gS A</t>
  </si>
  <si>
    <r>
      <rPr>
        <b/>
        <sz val="22"/>
        <color rgb="FF002060"/>
        <rFont val="Cambria"/>
      </rPr>
      <t xml:space="preserve">For Help Click Here </t>
    </r>
    <r>
      <rPr>
        <b/>
        <sz val="22"/>
        <color rgb="FF002060"/>
        <rFont val="Times New Roman"/>
      </rPr>
      <t>→</t>
    </r>
    <r>
      <rPr>
        <b/>
        <sz val="16"/>
        <color rgb="FF002060"/>
        <rFont val="Cambria"/>
      </rPr>
      <t xml:space="preserve">
</t>
    </r>
    <r>
      <rPr>
        <b/>
        <sz val="16"/>
        <color rgb="FFFF0000"/>
        <rFont val="Cambria"/>
      </rPr>
      <t>(Please Subscribe My Channel)</t>
    </r>
  </si>
  <si>
    <t>Last Updated on:-
17-12-2023</t>
  </si>
  <si>
    <r>
      <t xml:space="preserve">Programmer
</t>
    </r>
    <r>
      <rPr>
        <b/>
        <sz val="16"/>
        <color rgb="FFFFFFFF"/>
        <rFont val="Cambria"/>
      </rPr>
      <t>Ummed Tarad</t>
    </r>
    <r>
      <rPr>
        <b/>
        <sz val="16"/>
        <color rgb="FFFFFF00"/>
        <rFont val="Cambria"/>
      </rPr>
      <t xml:space="preserve"> 
</t>
    </r>
    <r>
      <rPr>
        <b/>
        <sz val="12"/>
        <color rgb="FFFFFF00"/>
        <rFont val="Cambria"/>
      </rPr>
      <t>(GSSS Raimalwada)</t>
    </r>
  </si>
  <si>
    <t>bl vof/k ds nkSjku ;fn mikftZr vodk'k mBk;k gS] rks ekg dk p;u djsa</t>
  </si>
  <si>
    <t>ljsUMj ,fj;j vUrj rkfydk</t>
  </si>
  <si>
    <t xml:space="preserve">        foRr ¼fu;e½ foHkkx jktLFkku ljdkj dh vf/klwpuk Øekad&amp;,Q-15¼1½,Q-Mh@:Yl@2017 ikVZ fnukad 06-10-2023 ds }kjk jktLFkku flfoy lsok iqujhf{kr osru fu;e&amp;2017 ds fu;e&amp;14 }kjk ,e-,-lh-ih ¼la'kksf/kr vk'okflr dSfj;j çxfr½ ;kstuk ds izko/kku ykxw fd;s tkus ds vuqlj.k esa ,e-,-lh-ih ;kstuk dk fodYi i= izLrqr djus ij jktLFkku flfoy lsok iqujhf{kr osru fu;e&amp;2017 ds fu;e&amp;14 ¼2½¼kkk½ ds vuqlkj fnukad 01-04-2023 ds QyLo:i fuEu dkfeZd dk ,e-,-lh-ih ;kstuk ds vUrxZr iqu% osru fu;ru djus ds mijkUr fuEu fooj.kkuqlkj mikftZr vodk'k udn Hkqxrku dk vUrj ¼ljsUMj ,fj;j½ dk Hkqxrku fd;k tkrk gSA</t>
  </si>
</sst>
</file>

<file path=xl/styles.xml><?xml version="1.0" encoding="utf-8"?>
<styleSheet xmlns="http://schemas.openxmlformats.org/spreadsheetml/2006/main">
  <numFmts count="8">
    <numFmt numFmtId="164" formatCode="0\ &quot;Yrs.&quot;"/>
    <numFmt numFmtId="165" formatCode="&quot;₹&quot;\ #,##0"/>
    <numFmt numFmtId="166" formatCode="&quot;L-&quot;0"/>
    <numFmt numFmtId="167" formatCode="[$-409]mmm/yy;@"/>
    <numFmt numFmtId="168" formatCode="[$-409]dd/mmm/yy;@"/>
    <numFmt numFmtId="169" formatCode="dd/mm/yy"/>
    <numFmt numFmtId="170" formatCode="mmm\-yy"/>
    <numFmt numFmtId="173" formatCode="mm/yyyy"/>
  </numFmts>
  <fonts count="102">
    <font>
      <sz val="11"/>
      <name val="Calibri"/>
    </font>
    <font>
      <sz val="11"/>
      <color rgb="FF000000"/>
      <name val="Calibri"/>
    </font>
    <font>
      <b/>
      <sz val="20"/>
      <color rgb="FFFFFFFF"/>
      <name val="DevLys 010"/>
    </font>
    <font>
      <b/>
      <sz val="24"/>
      <color rgb="FF002060"/>
      <name val="DevLys 010"/>
    </font>
    <font>
      <sz val="24"/>
      <color rgb="FF000000"/>
      <name val="Calibri"/>
    </font>
    <font>
      <b/>
      <sz val="14"/>
      <color rgb="FFFF0000"/>
      <name val="DevLys 010"/>
    </font>
    <font>
      <b/>
      <sz val="22"/>
      <color rgb="FFFFFF00"/>
      <name val="Algerian"/>
    </font>
    <font>
      <b/>
      <sz val="16"/>
      <color rgb="FFFFFF00"/>
      <name val="Algerian"/>
    </font>
    <font>
      <b/>
      <sz val="11"/>
      <color rgb="FFFFFFFF"/>
      <name val="Algerian"/>
    </font>
    <font>
      <b/>
      <sz val="16"/>
      <color rgb="FF002060"/>
      <name val="Cambria"/>
    </font>
    <font>
      <b/>
      <sz val="36"/>
      <color rgb="FF002060"/>
      <name val="BookmanITC Lt BT"/>
    </font>
    <font>
      <sz val="18"/>
      <color rgb="FF000000"/>
      <name val="Calibri"/>
    </font>
    <font>
      <b/>
      <sz val="12"/>
      <color rgb="FF002060"/>
      <name val="Cambria"/>
    </font>
    <font>
      <b/>
      <sz val="12"/>
      <color rgb="FF002060"/>
      <name val="DevLys 010"/>
    </font>
    <font>
      <b/>
      <sz val="10"/>
      <color rgb="FF002060"/>
      <name val="DevLys 010"/>
    </font>
    <font>
      <sz val="18"/>
      <color rgb="FF0070C0"/>
      <name val="Calibri"/>
    </font>
    <font>
      <b/>
      <sz val="10"/>
      <color rgb="FF002060"/>
      <name val="Cambria"/>
    </font>
    <font>
      <sz val="16"/>
      <color rgb="FF0070C0"/>
      <name val="Calibri"/>
    </font>
    <font>
      <sz val="14"/>
      <color rgb="FF0070C0"/>
      <name val="Calibri"/>
    </font>
    <font>
      <sz val="12"/>
      <color rgb="FF0070C0"/>
      <name val="Calibri"/>
    </font>
    <font>
      <sz val="11"/>
      <color rgb="FF0070C0"/>
      <name val="Calibri"/>
    </font>
    <font>
      <sz val="12"/>
      <color rgb="FF000000"/>
      <name val="Cambria"/>
    </font>
    <font>
      <sz val="11"/>
      <color rgb="FF000000"/>
      <name val="Cambria"/>
    </font>
    <font>
      <sz val="10"/>
      <color rgb="FF000000"/>
      <name val="Cambria"/>
    </font>
    <font>
      <sz val="9"/>
      <color rgb="FFFF0000"/>
      <name val="Calibri"/>
    </font>
    <font>
      <b/>
      <sz val="42"/>
      <color rgb="FF002060"/>
      <name val="DevLys 010"/>
    </font>
    <font>
      <sz val="22"/>
      <color rgb="FF000000"/>
      <name val="DevLys 010"/>
    </font>
    <font>
      <b/>
      <sz val="28"/>
      <color rgb="FF000000"/>
      <name val="DevLys 010"/>
    </font>
    <font>
      <b/>
      <sz val="16"/>
      <color rgb="FF000000"/>
      <name val="DevLys 010"/>
    </font>
    <font>
      <b/>
      <sz val="12"/>
      <color rgb="FF000000"/>
      <name val="Cambria"/>
    </font>
    <font>
      <b/>
      <sz val="18"/>
      <color rgb="FF000000"/>
      <name val="DevLys 010"/>
    </font>
    <font>
      <b/>
      <sz val="14"/>
      <color rgb="FF000000"/>
      <name val="DevLys 010"/>
    </font>
    <font>
      <b/>
      <sz val="12"/>
      <color rgb="FF000000"/>
      <name val="DevLys 010"/>
    </font>
    <font>
      <b/>
      <sz val="14"/>
      <color rgb="FF000000"/>
      <name val="Cambria"/>
    </font>
    <font>
      <b/>
      <sz val="11"/>
      <color rgb="FF000000"/>
      <name val="DevLys 010"/>
    </font>
    <font>
      <sz val="16"/>
      <color rgb="FF000000"/>
      <name val="Cambria"/>
    </font>
    <font>
      <sz val="14"/>
      <color rgb="FF000000"/>
      <name val="Cambria"/>
    </font>
    <font>
      <b/>
      <i/>
      <sz val="11"/>
      <color rgb="FF000000"/>
      <name val="DevLys 010"/>
    </font>
    <font>
      <sz val="14"/>
      <color rgb="FF000000"/>
      <name val="DevLys 010"/>
    </font>
    <font>
      <sz val="11"/>
      <color rgb="FF000000"/>
      <name val="DevLys 010"/>
    </font>
    <font>
      <sz val="12"/>
      <color rgb="FF000000"/>
      <name val="DevLys 010"/>
    </font>
    <font>
      <b/>
      <sz val="20"/>
      <color rgb="FFFFFFFF"/>
      <name val="Cambria"/>
    </font>
    <font>
      <b/>
      <sz val="18"/>
      <color rgb="FF002060"/>
      <name val="Cambria"/>
    </font>
    <font>
      <b/>
      <sz val="16"/>
      <color rgb="FFFFFFFF"/>
      <name val="DevLys 010"/>
    </font>
    <font>
      <b/>
      <sz val="18"/>
      <color rgb="FFFFFFFF"/>
      <name val="DevLys 010"/>
    </font>
    <font>
      <b/>
      <sz val="12"/>
      <color rgb="FFFFFFFF"/>
      <name val="DevLys 010"/>
    </font>
    <font>
      <b/>
      <sz val="22"/>
      <color rgb="FF002060"/>
      <name val="Cambria"/>
    </font>
    <font>
      <b/>
      <sz val="22"/>
      <color rgb="FFFFFF00"/>
      <name val="Aldine721 BT"/>
    </font>
    <font>
      <b/>
      <sz val="14"/>
      <color rgb="FFFFFF00"/>
      <name val="DevLys 010"/>
    </font>
    <font>
      <b/>
      <sz val="48"/>
      <color rgb="FF000000"/>
      <name val="DevLys 010"/>
    </font>
    <font>
      <b/>
      <i/>
      <u/>
      <sz val="20"/>
      <color rgb="FF000000"/>
      <name val="DevLys 010"/>
    </font>
    <font>
      <sz val="18"/>
      <color rgb="FF000000"/>
      <name val="DevLys 010"/>
    </font>
    <font>
      <sz val="18"/>
      <name val="DevLys 010"/>
    </font>
    <font>
      <b/>
      <sz val="14"/>
      <name val="DevLys 010"/>
    </font>
    <font>
      <b/>
      <sz val="14"/>
      <name val="Cambria"/>
    </font>
    <font>
      <b/>
      <sz val="18"/>
      <name val="DevLys 010"/>
    </font>
    <font>
      <b/>
      <sz val="20"/>
      <name val="DevLys 010"/>
    </font>
    <font>
      <b/>
      <sz val="16"/>
      <name val="DevLys 010"/>
    </font>
    <font>
      <b/>
      <sz val="11"/>
      <name val="Calibri"/>
    </font>
    <font>
      <b/>
      <sz val="14"/>
      <name val="Calibri"/>
    </font>
    <font>
      <b/>
      <sz val="10"/>
      <name val="Calibri"/>
    </font>
    <font>
      <sz val="11"/>
      <color rgb="FFFF0000"/>
      <name val="Calibri"/>
    </font>
    <font>
      <sz val="11"/>
      <name val="Calibri"/>
    </font>
    <font>
      <b/>
      <sz val="9"/>
      <name val="Calibri"/>
    </font>
    <font>
      <b/>
      <sz val="24"/>
      <name val="Calibri"/>
    </font>
    <font>
      <sz val="14"/>
      <name val="Calibri"/>
    </font>
    <font>
      <b/>
      <sz val="18"/>
      <name val="Cambria"/>
    </font>
    <font>
      <b/>
      <sz val="14"/>
      <name val="Arial"/>
    </font>
    <font>
      <b/>
      <sz val="9"/>
      <name val="Cambria"/>
    </font>
    <font>
      <b/>
      <sz val="10"/>
      <name val="Cambria"/>
    </font>
    <font>
      <b/>
      <sz val="11"/>
      <name val="Cambria"/>
    </font>
    <font>
      <b/>
      <sz val="11"/>
      <color rgb="FF000000"/>
      <name val="Cambria"/>
    </font>
    <font>
      <b/>
      <sz val="14"/>
      <color rgb="FFBFBFBF"/>
      <name val="DevLys 010"/>
    </font>
    <font>
      <b/>
      <sz val="11"/>
      <color rgb="FF000000"/>
      <name val="Calibri"/>
    </font>
    <font>
      <sz val="9"/>
      <name val="Arial"/>
    </font>
    <font>
      <sz val="16"/>
      <color rgb="FF000000"/>
      <name val="DevLys 010"/>
    </font>
    <font>
      <sz val="16"/>
      <color rgb="FF000000"/>
      <name val="Times New Roman"/>
    </font>
    <font>
      <sz val="16"/>
      <name val="Arial Black"/>
    </font>
    <font>
      <sz val="16"/>
      <name val="Calibri"/>
    </font>
    <font>
      <sz val="16"/>
      <color rgb="FF000000"/>
      <name val="Calibri"/>
    </font>
    <font>
      <sz val="16"/>
      <name val="Calibri"/>
    </font>
    <font>
      <b/>
      <sz val="18"/>
      <name val="Calibri"/>
    </font>
    <font>
      <b/>
      <sz val="14"/>
      <color rgb="FF002060"/>
      <name val="Cambria"/>
    </font>
    <font>
      <sz val="11"/>
      <name val="Calibri"/>
    </font>
    <font>
      <sz val="12"/>
      <color rgb="FF000000"/>
      <name val="Calibri"/>
    </font>
    <font>
      <sz val="12"/>
      <color rgb="FF002060"/>
      <name val="Cambria"/>
    </font>
    <font>
      <u/>
      <sz val="11"/>
      <color rgb="FF0000FF"/>
      <name val="Calibri"/>
    </font>
    <font>
      <b/>
      <sz val="9"/>
      <color rgb="FFFFFFFF"/>
      <name val="Cambria"/>
    </font>
    <font>
      <b/>
      <sz val="14"/>
      <color rgb="FF002060"/>
      <name val="Arial"/>
    </font>
    <font>
      <u/>
      <sz val="16"/>
      <name val="Arial Black"/>
    </font>
    <font>
      <b/>
      <u/>
      <sz val="18"/>
      <name val="Calibri"/>
    </font>
    <font>
      <b/>
      <sz val="14"/>
      <color rgb="FFFFFF00"/>
      <name val="Calibri"/>
    </font>
    <font>
      <b/>
      <u/>
      <sz val="28"/>
      <color rgb="FF000000"/>
      <name val="DevLys 010"/>
    </font>
    <font>
      <b/>
      <sz val="22"/>
      <color rgb="FF002060"/>
      <name val="Times New Roman"/>
    </font>
    <font>
      <b/>
      <sz val="16"/>
      <color rgb="FFFF0000"/>
      <name val="Cambria"/>
    </font>
    <font>
      <b/>
      <sz val="16"/>
      <color rgb="FFFFFFFF"/>
      <name val="Cambria"/>
    </font>
    <font>
      <b/>
      <sz val="16"/>
      <color rgb="FFFFFF00"/>
      <name val="Cambria"/>
    </font>
    <font>
      <b/>
      <sz val="12"/>
      <color rgb="FFFFFF00"/>
      <name val="Cambria"/>
    </font>
    <font>
      <b/>
      <sz val="9"/>
      <color indexed="81"/>
      <name val="Tahoma"/>
      <family val="2"/>
    </font>
    <font>
      <sz val="9"/>
      <color indexed="81"/>
      <name val="Tahoma"/>
      <family val="2"/>
    </font>
    <font>
      <b/>
      <u/>
      <sz val="9"/>
      <name val="Calibri"/>
      <family val="2"/>
    </font>
    <font>
      <b/>
      <sz val="14"/>
      <name val="Arial"/>
      <family val="2"/>
    </font>
  </fonts>
  <fills count="23">
    <fill>
      <patternFill patternType="none"/>
    </fill>
    <fill>
      <patternFill patternType="gray125"/>
    </fill>
    <fill>
      <patternFill patternType="solid">
        <fgColor rgb="FFFFFFFF"/>
        <bgColor indexed="64"/>
      </patternFill>
    </fill>
    <fill>
      <patternFill patternType="solid">
        <fgColor rgb="FF00B0F0"/>
        <bgColor indexed="64"/>
      </patternFill>
    </fill>
    <fill>
      <patternFill patternType="solid">
        <fgColor rgb="FF000000"/>
      </patternFill>
    </fill>
    <fill>
      <patternFill patternType="solid">
        <fgColor rgb="FFFFFFFF"/>
      </patternFill>
    </fill>
    <fill>
      <patternFill patternType="solid">
        <fgColor rgb="FF000000"/>
        <bgColor indexed="64"/>
      </patternFill>
    </fill>
    <fill>
      <patternFill patternType="solid">
        <fgColor rgb="FF00B050"/>
        <bgColor indexed="64"/>
      </patternFill>
    </fill>
    <fill>
      <gradientFill type="path" left="0.5" right="0.5" top="0.5" bottom="0.5">
        <stop position="0">
          <color rgb="FFFFFF00"/>
        </stop>
        <stop position="1">
          <color rgb="FFFF0000"/>
        </stop>
      </gradientFill>
    </fill>
    <fill>
      <patternFill patternType="solid">
        <fgColor rgb="FF8EB4E2"/>
        <bgColor indexed="64"/>
      </patternFill>
    </fill>
    <fill>
      <patternFill patternType="solid">
        <fgColor rgb="FFFBD4B4"/>
        <bgColor indexed="64"/>
      </patternFill>
    </fill>
    <fill>
      <patternFill patternType="solid">
        <fgColor rgb="FFFFFF00"/>
        <bgColor indexed="64"/>
      </patternFill>
    </fill>
    <fill>
      <patternFill patternType="solid">
        <fgColor rgb="FFFDE9D9"/>
        <bgColor indexed="64"/>
      </patternFill>
    </fill>
    <fill>
      <patternFill patternType="solid">
        <fgColor rgb="FFF2F2F2"/>
        <bgColor indexed="64"/>
      </patternFill>
    </fill>
    <fill>
      <gradientFill type="path" left="0.5" right="0.5" top="0.5" bottom="0.5">
        <stop position="0">
          <color rgb="FFFFFF00"/>
        </stop>
        <stop position="1">
          <color rgb="FFFBD4B4"/>
        </stop>
      </gradientFill>
    </fill>
    <fill>
      <gradientFill type="path" left="0.5" right="0.5" top="0.5" bottom="0.5">
        <stop position="0">
          <color rgb="FFC00000"/>
        </stop>
        <stop position="1">
          <color rgb="FF000000"/>
        </stop>
      </gradientFill>
    </fill>
    <fill>
      <gradientFill type="path" left="0.5" right="0.5" top="0.5" bottom="0.5">
        <stop position="0">
          <color rgb="FFFF0000"/>
        </stop>
        <stop position="1">
          <color rgb="FF000000"/>
        </stop>
      </gradientFill>
    </fill>
    <fill>
      <patternFill patternType="solid">
        <fgColor rgb="FFF2DCDB"/>
        <bgColor indexed="64"/>
      </patternFill>
    </fill>
    <fill>
      <patternFill patternType="solid">
        <fgColor rgb="FFBFBFBF"/>
        <bgColor indexed="64"/>
      </patternFill>
    </fill>
    <fill>
      <patternFill patternType="solid">
        <fgColor rgb="FFD8D8D8"/>
        <bgColor indexed="64"/>
      </patternFill>
    </fill>
    <fill>
      <patternFill patternType="solid">
        <fgColor rgb="FFDBEEF3"/>
        <bgColor indexed="64"/>
      </patternFill>
    </fill>
    <fill>
      <patternFill patternType="solid">
        <fgColor rgb="FFE5DFEC"/>
        <bgColor indexed="64"/>
      </patternFill>
    </fill>
    <fill>
      <patternFill patternType="solid">
        <fgColor theme="0"/>
        <bgColor indexed="64"/>
      </patternFill>
    </fill>
  </fills>
  <borders count="212">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C00000"/>
      </top>
      <bottom style="medium">
        <color rgb="FFFF0000"/>
      </bottom>
      <diagonal/>
    </border>
    <border>
      <left/>
      <right/>
      <top style="medium">
        <color rgb="FFC00000"/>
      </top>
      <bottom style="medium">
        <color rgb="FFFF0000"/>
      </bottom>
      <diagonal/>
    </border>
    <border>
      <left/>
      <right style="medium">
        <color rgb="FFFF0000"/>
      </right>
      <top style="medium">
        <color rgb="FFC0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top style="medium">
        <color rgb="FFFF0000"/>
      </top>
      <bottom style="medium">
        <color rgb="FFFF0000"/>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style="thin">
        <color indexed="64"/>
      </bottom>
      <diagonal/>
    </border>
    <border>
      <left style="medium">
        <color rgb="FFFF0000"/>
      </left>
      <right style="thin">
        <color rgb="FFFF0000"/>
      </right>
      <top style="medium">
        <color rgb="FFFF0000"/>
      </top>
      <bottom style="thin">
        <color indexed="64"/>
      </bottom>
      <diagonal/>
    </border>
    <border>
      <left/>
      <right/>
      <top style="medium">
        <color rgb="FFFF0000"/>
      </top>
      <bottom style="thin">
        <color indexed="64"/>
      </bottom>
      <diagonal/>
    </border>
    <border>
      <left style="medium">
        <color rgb="FFFF0000"/>
      </left>
      <right style="thin">
        <color rgb="FFFF0000"/>
      </right>
      <top style="medium">
        <color rgb="FFFF0000"/>
      </top>
      <bottom style="thin">
        <color rgb="FFFF0000"/>
      </bottom>
      <diagonal/>
    </border>
    <border>
      <left style="thin">
        <color rgb="FFFF0000"/>
      </left>
      <right/>
      <top style="medium">
        <color rgb="FFFF0000"/>
      </top>
      <bottom style="thin">
        <color rgb="FFFF0000"/>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diagonal/>
    </border>
    <border>
      <left style="thin">
        <color rgb="FFFF0000"/>
      </left>
      <right style="medium">
        <color rgb="FFFF0000"/>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top style="medium">
        <color rgb="FFFF0000"/>
      </top>
      <bottom style="thin">
        <color rgb="FFFF0000"/>
      </bottom>
      <diagonal/>
    </border>
    <border>
      <left style="medium">
        <color rgb="FFFF0000"/>
      </left>
      <right/>
      <top/>
      <bottom/>
      <diagonal/>
    </border>
    <border>
      <left/>
      <right style="medium">
        <color rgb="FFFF0000"/>
      </right>
      <top/>
      <bottom/>
      <diagonal/>
    </border>
    <border>
      <left style="medium">
        <color rgb="FFFF0000"/>
      </left>
      <right style="thin">
        <color rgb="FFFF0000"/>
      </right>
      <top/>
      <bottom style="thin">
        <color indexed="64"/>
      </bottom>
      <diagonal/>
    </border>
    <border>
      <left/>
      <right style="medium">
        <color rgb="FFFF0000"/>
      </right>
      <top/>
      <bottom style="thin">
        <color indexed="64"/>
      </bottom>
      <diagonal/>
    </border>
    <border>
      <left style="medium">
        <color rgb="FFFF0000"/>
      </left>
      <right style="medium">
        <color rgb="FFFF0000"/>
      </right>
      <top style="medium">
        <color rgb="FFFF0000"/>
      </top>
      <bottom style="thin">
        <color indexed="64"/>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FF0000"/>
      </left>
      <right style="thin">
        <color rgb="FFFF0000"/>
      </right>
      <top style="thin">
        <color indexed="64"/>
      </top>
      <bottom style="medium">
        <color rgb="FFFF0000"/>
      </bottom>
      <diagonal/>
    </border>
    <border>
      <left/>
      <right/>
      <top style="thin">
        <color indexed="64"/>
      </top>
      <bottom/>
      <diagonal/>
    </border>
    <border>
      <left style="medium">
        <color rgb="FFFF0000"/>
      </left>
      <right style="thin">
        <color rgb="FFFF0000"/>
      </right>
      <top style="thin">
        <color rgb="FFFF0000"/>
      </top>
      <bottom style="medium">
        <color rgb="FFFF0000"/>
      </bottom>
      <diagonal/>
    </border>
    <border>
      <left style="thin">
        <color rgb="FFFF0000"/>
      </left>
      <right/>
      <top style="thin">
        <color rgb="FFFF0000"/>
      </top>
      <bottom style="medium">
        <color rgb="FFFF0000"/>
      </bottom>
      <diagonal/>
    </border>
    <border>
      <left/>
      <right style="medium">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thin">
        <color rgb="FFFF0000"/>
      </top>
      <bottom/>
      <diagonal/>
    </border>
    <border>
      <left/>
      <right style="medium">
        <color rgb="FFFF0000"/>
      </right>
      <top style="thin">
        <color rgb="FFFF0000"/>
      </top>
      <bottom/>
      <diagonal/>
    </border>
    <border>
      <left/>
      <right/>
      <top style="thin">
        <color rgb="FFFF0000"/>
      </top>
      <bottom/>
      <diagonal/>
    </border>
    <border>
      <left/>
      <right style="thin">
        <color rgb="FFFF0000"/>
      </right>
      <top style="thin">
        <color rgb="FFFF0000"/>
      </top>
      <bottom style="medium">
        <color rgb="FFFF0000"/>
      </bottom>
      <diagonal/>
    </border>
    <border>
      <left/>
      <right/>
      <top style="thin">
        <color rgb="FFFF0000"/>
      </top>
      <bottom style="medium">
        <color rgb="FFFF0000"/>
      </bottom>
      <diagonal/>
    </border>
    <border>
      <left style="medium">
        <color rgb="FFFF0000"/>
      </left>
      <right/>
      <top style="thin">
        <color rgb="FFFF0000"/>
      </top>
      <bottom style="medium">
        <color rgb="FFFF0000"/>
      </bottom>
      <diagonal/>
    </border>
    <border>
      <left/>
      <right style="medium">
        <color rgb="FFFF0000"/>
      </right>
      <top style="thin">
        <color indexed="64"/>
      </top>
      <bottom/>
      <diagonal/>
    </border>
    <border>
      <left style="medium">
        <color rgb="FFFF0000"/>
      </left>
      <right style="medium">
        <color rgb="FFFF0000"/>
      </right>
      <top style="thin">
        <color indexed="64"/>
      </top>
      <bottom style="medium">
        <color rgb="FFFF0000"/>
      </bottom>
      <diagonal/>
    </border>
    <border>
      <left style="thin">
        <color rgb="FFFF0000"/>
      </left>
      <right style="thin">
        <color rgb="FFFF0000"/>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thin">
        <color rgb="FFFF0000"/>
      </right>
      <top style="thin">
        <color rgb="FFFF0000"/>
      </top>
      <bottom/>
      <diagonal/>
    </border>
    <border>
      <left style="medium">
        <color rgb="FFFF0000"/>
      </left>
      <right style="medium">
        <color rgb="FFFF0000"/>
      </right>
      <top/>
      <bottom style="medium">
        <color rgb="FFFF0000"/>
      </bottom>
      <diagonal/>
    </border>
    <border>
      <left style="medium">
        <color rgb="FFFF0000"/>
      </left>
      <right style="thin">
        <color rgb="FFFF0000"/>
      </right>
      <top/>
      <bottom/>
      <diagonal/>
    </border>
    <border>
      <left style="thin">
        <color rgb="FFFF0000"/>
      </left>
      <right/>
      <top/>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bottom/>
      <diagonal/>
    </border>
    <border>
      <left/>
      <right style="medium">
        <color rgb="FFFF0000"/>
      </right>
      <top style="thin">
        <color rgb="FFFF0000"/>
      </top>
      <bottom style="thin">
        <color rgb="FFFF0000"/>
      </bottom>
      <diagonal/>
    </border>
    <border>
      <left style="thin">
        <color rgb="FFFF0000"/>
      </left>
      <right style="thin">
        <color rgb="FFFF0000"/>
      </right>
      <top style="thin">
        <color rgb="FFFF0000"/>
      </top>
      <bottom style="medium">
        <color rgb="FFFF0000"/>
      </bottom>
      <diagonal/>
    </border>
    <border>
      <left style="medium">
        <color rgb="FFFF0000"/>
      </left>
      <right style="medium">
        <color rgb="FFFF0000"/>
      </right>
      <top/>
      <bottom/>
      <diagonal/>
    </border>
    <border>
      <left style="thin">
        <color rgb="FFFF0000"/>
      </left>
      <right style="thin">
        <color rgb="FFFF0000"/>
      </right>
      <top/>
      <bottom/>
      <diagonal/>
    </border>
    <border>
      <left style="thin">
        <color rgb="FFFF0000"/>
      </left>
      <right style="medium">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rgb="FF000000"/>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rgb="FF000000"/>
      </right>
      <top/>
      <bottom style="thin">
        <color indexed="64"/>
      </bottom>
      <diagonal/>
    </border>
    <border>
      <left/>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medium">
        <color indexed="64"/>
      </left>
      <right style="medium">
        <color indexed="64"/>
      </right>
      <top style="thin">
        <color indexed="64"/>
      </top>
      <bottom/>
      <diagonal/>
    </border>
    <border>
      <left style="medium">
        <color indexed="64"/>
      </left>
      <right style="medium">
        <color rgb="FF000000"/>
      </right>
      <top style="thin">
        <color indexed="64"/>
      </top>
      <bottom/>
      <diagonal/>
    </border>
    <border>
      <left style="medium">
        <color rgb="FF000000"/>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rgb="FF000000"/>
      </right>
      <top style="medium">
        <color indexed="64"/>
      </top>
      <bottom style="thin">
        <color rgb="FF000000"/>
      </bottom>
      <diagonal/>
    </border>
    <border>
      <left style="medium">
        <color rgb="FF000000"/>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rgb="FF000000"/>
      </right>
      <top/>
      <bottom/>
      <diagonal/>
    </border>
    <border>
      <left style="medium">
        <color indexed="64"/>
      </left>
      <right/>
      <top/>
      <bottom style="thin">
        <color indexed="64"/>
      </bottom>
      <diagonal/>
    </border>
    <border>
      <left style="medium">
        <color rgb="FF000000"/>
      </left>
      <right style="medium">
        <color rgb="FF000000"/>
      </right>
      <top/>
      <bottom/>
      <diagonal/>
    </border>
    <border>
      <left/>
      <right style="medium">
        <color rgb="FF000000"/>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thin">
        <color rgb="FF000000"/>
      </right>
      <top/>
      <bottom/>
      <diagonal/>
    </border>
    <border>
      <left/>
      <right style="medium">
        <color rgb="FF000000"/>
      </right>
      <top style="thin">
        <color indexed="64"/>
      </top>
      <bottom/>
      <diagonal/>
    </border>
    <border>
      <left style="medium">
        <color indexed="64"/>
      </left>
      <right/>
      <top style="thin">
        <color indexed="64"/>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thin">
        <color indexed="64"/>
      </right>
      <top/>
      <bottom style="medium">
        <color rgb="FF000000"/>
      </bottom>
      <diagonal/>
    </border>
    <border>
      <left style="medium">
        <color indexed="64"/>
      </left>
      <right style="medium">
        <color indexed="64"/>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s>
  <cellStyleXfs count="3">
    <xf numFmtId="0" fontId="0" fillId="0" borderId="0">
      <alignment vertical="center"/>
    </xf>
    <xf numFmtId="0" fontId="86" fillId="0" borderId="0">
      <protection locked="0"/>
    </xf>
    <xf numFmtId="0" fontId="83" fillId="0" borderId="0">
      <protection locked="0"/>
    </xf>
  </cellStyleXfs>
  <cellXfs count="696">
    <xf numFmtId="0" fontId="0" fillId="0" borderId="0" xfId="0">
      <alignment vertical="center"/>
    </xf>
    <xf numFmtId="0" fontId="1" fillId="0" borderId="0" xfId="0" applyFont="1" applyAlignment="1" applyProtection="1">
      <protection hidden="1"/>
    </xf>
    <xf numFmtId="0" fontId="1" fillId="0" borderId="0" xfId="0" applyFont="1" applyAlignment="1" applyProtection="1">
      <alignment horizontal="center"/>
      <protection hidden="1"/>
    </xf>
    <xf numFmtId="0" fontId="1" fillId="2" borderId="0" xfId="0" applyFont="1" applyFill="1" applyAlignment="1" applyProtection="1">
      <protection hidden="1"/>
    </xf>
    <xf numFmtId="0" fontId="1" fillId="0" borderId="0" xfId="0" applyFont="1" applyAlignment="1" applyProtection="1">
      <alignment horizontal="center" vertical="center"/>
      <protection hidden="1"/>
    </xf>
    <xf numFmtId="14" fontId="1" fillId="0" borderId="0" xfId="0" applyNumberFormat="1" applyFont="1" applyAlignment="1" applyProtection="1">
      <protection hidden="1"/>
    </xf>
    <xf numFmtId="14" fontId="1" fillId="0" borderId="13" xfId="0" applyNumberFormat="1" applyFont="1" applyBorder="1" applyAlignment="1" applyProtection="1">
      <alignment horizontal="center" vertical="center" textRotation="90"/>
      <protection hidden="1"/>
    </xf>
    <xf numFmtId="14" fontId="1" fillId="0" borderId="0" xfId="0" applyNumberFormat="1" applyFont="1" applyBorder="1" applyAlignment="1" applyProtection="1">
      <alignment horizontal="center" vertical="center" textRotation="90"/>
      <protection hidden="1"/>
    </xf>
    <xf numFmtId="0" fontId="11" fillId="0" borderId="0" xfId="0" applyFont="1" applyAlignment="1" applyProtection="1">
      <alignment horizontal="center" vertical="center" wrapText="1"/>
      <protection hidden="1"/>
    </xf>
    <xf numFmtId="0" fontId="13" fillId="9" borderId="21" xfId="0" applyFont="1" applyFill="1" applyBorder="1" applyAlignment="1" applyProtection="1">
      <alignment horizontal="center" vertical="center" wrapText="1"/>
      <protection hidden="1"/>
    </xf>
    <xf numFmtId="0" fontId="11" fillId="2" borderId="0" xfId="0" applyFont="1" applyFill="1" applyAlignment="1" applyProtection="1">
      <alignment horizontal="center" vertical="center" wrapText="1"/>
      <protection hidden="1"/>
    </xf>
    <xf numFmtId="0" fontId="15" fillId="0" borderId="31" xfId="0" applyFont="1" applyBorder="1" applyAlignment="1" applyProtection="1">
      <alignment horizontal="center" vertical="center"/>
      <protection hidden="1"/>
    </xf>
    <xf numFmtId="0" fontId="15" fillId="0" borderId="32" xfId="0" applyFont="1" applyBorder="1" applyAlignment="1" applyProtection="1">
      <alignment horizontal="center" vertical="center"/>
      <protection hidden="1"/>
    </xf>
    <xf numFmtId="0" fontId="11" fillId="0" borderId="0" xfId="0" applyFont="1" applyAlignment="1" applyProtection="1">
      <protection hidden="1"/>
    </xf>
    <xf numFmtId="0" fontId="12" fillId="9" borderId="36" xfId="0" applyFont="1" applyFill="1" applyBorder="1" applyAlignment="1" applyProtection="1">
      <alignment horizontal="center" vertical="center" wrapText="1"/>
      <protection hidden="1"/>
    </xf>
    <xf numFmtId="0" fontId="16" fillId="9" borderId="38" xfId="0" applyFont="1" applyFill="1" applyBorder="1" applyAlignment="1" applyProtection="1">
      <alignment horizontal="center" vertical="center" wrapText="1"/>
      <protection hidden="1"/>
    </xf>
    <xf numFmtId="0" fontId="12" fillId="9" borderId="40" xfId="0" applyFont="1" applyFill="1" applyBorder="1" applyAlignment="1" applyProtection="1">
      <alignment horizontal="center" vertical="center" wrapText="1"/>
      <protection hidden="1"/>
    </xf>
    <xf numFmtId="0" fontId="12" fillId="9" borderId="41" xfId="0" applyFont="1" applyFill="1" applyBorder="1" applyAlignment="1" applyProtection="1">
      <alignment horizontal="center" vertical="center" wrapText="1"/>
      <protection hidden="1"/>
    </xf>
    <xf numFmtId="0" fontId="12" fillId="9" borderId="42" xfId="0" applyFont="1" applyFill="1" applyBorder="1" applyAlignment="1" applyProtection="1">
      <alignment horizontal="center" vertical="center" wrapText="1"/>
      <protection hidden="1"/>
    </xf>
    <xf numFmtId="0" fontId="13" fillId="9" borderId="36" xfId="0" applyFont="1" applyFill="1" applyBorder="1" applyAlignment="1" applyProtection="1">
      <alignment horizontal="center" vertical="center" wrapText="1"/>
      <protection hidden="1"/>
    </xf>
    <xf numFmtId="0" fontId="13" fillId="9" borderId="43" xfId="0" applyFont="1" applyFill="1" applyBorder="1" applyAlignment="1" applyProtection="1">
      <alignment horizontal="center" vertical="center" wrapText="1"/>
      <protection hidden="1"/>
    </xf>
    <xf numFmtId="0" fontId="12" fillId="9" borderId="43" xfId="0" applyFont="1" applyFill="1" applyBorder="1" applyAlignment="1" applyProtection="1">
      <alignment horizontal="center" vertical="center" wrapText="1"/>
      <protection hidden="1"/>
    </xf>
    <xf numFmtId="0" fontId="12" fillId="9" borderId="44" xfId="0" applyFont="1" applyFill="1" applyBorder="1" applyAlignment="1" applyProtection="1">
      <alignment horizontal="center" vertical="center" wrapText="1"/>
      <protection hidden="1"/>
    </xf>
    <xf numFmtId="0" fontId="12" fillId="9" borderId="45" xfId="0" applyFont="1" applyFill="1" applyBorder="1" applyAlignment="1" applyProtection="1">
      <alignment horizontal="center" vertical="center"/>
      <protection hidden="1"/>
    </xf>
    <xf numFmtId="0" fontId="12" fillId="9" borderId="44" xfId="0" applyFont="1" applyFill="1" applyBorder="1" applyAlignment="1" applyProtection="1">
      <alignment horizontal="center" vertical="center"/>
      <protection hidden="1"/>
    </xf>
    <xf numFmtId="0" fontId="12" fillId="9" borderId="38" xfId="0" applyFont="1" applyFill="1" applyBorder="1" applyAlignment="1" applyProtection="1">
      <alignment horizontal="center" vertical="center"/>
      <protection hidden="1"/>
    </xf>
    <xf numFmtId="0" fontId="11" fillId="2" borderId="0" xfId="0" applyFont="1" applyFill="1" applyAlignment="1" applyProtection="1">
      <protection hidden="1"/>
    </xf>
    <xf numFmtId="0" fontId="15" fillId="0" borderId="48" xfId="0" applyFont="1" applyBorder="1" applyAlignment="1" applyProtection="1">
      <alignment horizontal="center" vertical="center"/>
      <protection hidden="1"/>
    </xf>
    <xf numFmtId="0" fontId="17" fillId="0" borderId="48" xfId="0" applyFont="1" applyBorder="1" applyAlignment="1" applyProtection="1">
      <alignment horizontal="center" vertical="center" wrapText="1"/>
      <protection hidden="1"/>
    </xf>
    <xf numFmtId="0" fontId="18" fillId="0" borderId="48" xfId="0" applyFont="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9" fillId="0" borderId="48" xfId="0" applyFont="1" applyBorder="1" applyAlignment="1" applyProtection="1">
      <alignment horizontal="center" vertical="center" wrapText="1"/>
      <protection hidden="1"/>
    </xf>
    <xf numFmtId="0" fontId="20" fillId="0" borderId="48" xfId="0" applyFont="1" applyBorder="1" applyAlignment="1" applyProtection="1">
      <alignment horizontal="center" vertical="center" wrapText="1"/>
      <protection hidden="1"/>
    </xf>
    <xf numFmtId="14" fontId="21" fillId="10" borderId="50" xfId="0" applyNumberFormat="1" applyFont="1" applyFill="1" applyBorder="1" applyAlignment="1" applyProtection="1">
      <alignment horizontal="center" vertical="center"/>
      <protection hidden="1"/>
    </xf>
    <xf numFmtId="165" fontId="21" fillId="10" borderId="53" xfId="0" applyNumberFormat="1" applyFont="1" applyFill="1" applyBorder="1" applyAlignment="1" applyProtection="1">
      <alignment horizontal="center" vertical="center"/>
      <protection hidden="1"/>
    </xf>
    <xf numFmtId="166" fontId="21" fillId="10" borderId="52" xfId="0" applyNumberFormat="1" applyFont="1" applyFill="1" applyBorder="1" applyAlignment="1" applyProtection="1">
      <alignment horizontal="center" vertical="center"/>
      <protection hidden="1"/>
    </xf>
    <xf numFmtId="165" fontId="21" fillId="10" borderId="8" xfId="0" applyNumberFormat="1" applyFont="1" applyFill="1" applyBorder="1" applyAlignment="1" applyProtection="1">
      <alignment horizontal="center" vertical="center"/>
      <protection hidden="1"/>
    </xf>
    <xf numFmtId="14" fontId="22" fillId="10" borderId="53" xfId="0" applyNumberFormat="1" applyFont="1" applyFill="1" applyBorder="1" applyAlignment="1" applyProtection="1">
      <alignment horizontal="center" vertical="center"/>
      <protection locked="0" hidden="1"/>
    </xf>
    <xf numFmtId="165" fontId="21" fillId="10" borderId="53" xfId="0" applyNumberFormat="1" applyFont="1" applyFill="1" applyBorder="1" applyAlignment="1" applyProtection="1">
      <alignment horizontal="center" vertical="center"/>
      <protection locked="0" hidden="1"/>
    </xf>
    <xf numFmtId="166" fontId="21" fillId="10" borderId="52" xfId="0" applyNumberFormat="1" applyFont="1" applyFill="1" applyBorder="1" applyAlignment="1" applyProtection="1">
      <alignment horizontal="center" vertical="center"/>
      <protection locked="0" hidden="1"/>
    </xf>
    <xf numFmtId="14" fontId="1" fillId="2" borderId="0" xfId="0" applyNumberFormat="1" applyFont="1" applyFill="1" applyAlignment="1" applyProtection="1">
      <protection hidden="1"/>
    </xf>
    <xf numFmtId="165" fontId="17" fillId="0" borderId="54" xfId="0" applyNumberFormat="1" applyFont="1" applyBorder="1" applyProtection="1">
      <alignment vertical="center"/>
      <protection hidden="1"/>
    </xf>
    <xf numFmtId="14" fontId="21" fillId="10" borderId="36" xfId="0" applyNumberFormat="1" applyFont="1" applyFill="1" applyBorder="1" applyAlignment="1" applyProtection="1">
      <alignment horizontal="center" vertical="center"/>
      <protection hidden="1"/>
    </xf>
    <xf numFmtId="165" fontId="21" fillId="10" borderId="61" xfId="0" applyNumberFormat="1" applyFont="1" applyFill="1" applyBorder="1" applyAlignment="1" applyProtection="1">
      <alignment horizontal="center" vertical="center"/>
      <protection hidden="1"/>
    </xf>
    <xf numFmtId="166" fontId="21" fillId="10" borderId="39" xfId="0" applyNumberFormat="1" applyFont="1" applyFill="1" applyBorder="1" applyAlignment="1" applyProtection="1">
      <alignment horizontal="center" vertical="center"/>
      <protection hidden="1"/>
    </xf>
    <xf numFmtId="165" fontId="21" fillId="10" borderId="25" xfId="0" applyNumberFormat="1" applyFont="1" applyFill="1" applyBorder="1" applyAlignment="1" applyProtection="1">
      <alignment horizontal="center" vertical="center"/>
      <protection hidden="1"/>
    </xf>
    <xf numFmtId="14" fontId="22" fillId="10" borderId="54" xfId="0" applyNumberFormat="1" applyFont="1" applyFill="1" applyBorder="1" applyAlignment="1" applyProtection="1">
      <alignment horizontal="center" vertical="center"/>
      <protection locked="0" hidden="1"/>
    </xf>
    <xf numFmtId="165" fontId="21" fillId="10" borderId="54" xfId="0" applyNumberFormat="1" applyFont="1" applyFill="1" applyBorder="1" applyAlignment="1" applyProtection="1">
      <alignment horizontal="center" vertical="center"/>
      <protection locked="0" hidden="1"/>
    </xf>
    <xf numFmtId="166" fontId="21" fillId="10" borderId="64" xfId="0" applyNumberFormat="1" applyFont="1" applyFill="1" applyBorder="1" applyAlignment="1" applyProtection="1">
      <alignment horizontal="center" vertical="center"/>
      <protection locked="0" hidden="1"/>
    </xf>
    <xf numFmtId="165" fontId="17" fillId="0" borderId="63" xfId="0" applyNumberFormat="1" applyFont="1" applyBorder="1" applyProtection="1">
      <alignment vertical="center"/>
      <protection hidden="1"/>
    </xf>
    <xf numFmtId="14" fontId="22" fillId="2" borderId="53" xfId="0" applyNumberFormat="1" applyFont="1" applyFill="1" applyBorder="1" applyAlignment="1" applyProtection="1">
      <alignment horizontal="center" vertical="center"/>
      <protection locked="0" hidden="1"/>
    </xf>
    <xf numFmtId="165" fontId="21" fillId="2" borderId="53" xfId="0" applyNumberFormat="1" applyFont="1" applyFill="1" applyBorder="1" applyAlignment="1" applyProtection="1">
      <alignment horizontal="center" vertical="center"/>
      <protection locked="0" hidden="1"/>
    </xf>
    <xf numFmtId="166" fontId="21" fillId="2" borderId="52" xfId="0" applyNumberFormat="1" applyFont="1" applyFill="1" applyBorder="1" applyAlignment="1" applyProtection="1">
      <alignment horizontal="center" vertical="center"/>
      <protection locked="0" hidden="1"/>
    </xf>
    <xf numFmtId="14" fontId="22" fillId="2" borderId="54" xfId="0" applyNumberFormat="1" applyFont="1" applyFill="1" applyBorder="1" applyAlignment="1" applyProtection="1">
      <alignment horizontal="center" vertical="center"/>
      <protection locked="0" hidden="1"/>
    </xf>
    <xf numFmtId="165" fontId="21" fillId="2" borderId="54" xfId="0" applyNumberFormat="1" applyFont="1" applyFill="1" applyBorder="1" applyAlignment="1" applyProtection="1">
      <alignment horizontal="center" vertical="center"/>
      <protection locked="0" hidden="1"/>
    </xf>
    <xf numFmtId="166" fontId="21" fillId="2" borderId="64" xfId="0" applyNumberFormat="1" applyFont="1" applyFill="1" applyBorder="1" applyAlignment="1" applyProtection="1">
      <alignment horizontal="center" vertical="center"/>
      <protection locked="0" hidden="1"/>
    </xf>
    <xf numFmtId="165" fontId="21" fillId="10" borderId="12" xfId="0" applyNumberFormat="1" applyFont="1" applyFill="1" applyBorder="1" applyAlignment="1" applyProtection="1">
      <alignment horizontal="center" vertical="center"/>
      <protection hidden="1"/>
    </xf>
    <xf numFmtId="14" fontId="22" fillId="10" borderId="61" xfId="0" applyNumberFormat="1" applyFont="1" applyFill="1" applyBorder="1" applyAlignment="1" applyProtection="1">
      <alignment horizontal="center" vertical="center"/>
      <protection locked="0" hidden="1"/>
    </xf>
    <xf numFmtId="165" fontId="21" fillId="10" borderId="61" xfId="0" applyNumberFormat="1" applyFont="1" applyFill="1" applyBorder="1" applyAlignment="1" applyProtection="1">
      <alignment horizontal="center" vertical="center"/>
      <protection locked="0" hidden="1"/>
    </xf>
    <xf numFmtId="166" fontId="21" fillId="10" borderId="39" xfId="0" applyNumberFormat="1" applyFont="1" applyFill="1" applyBorder="1" applyAlignment="1" applyProtection="1">
      <alignment horizontal="center" vertical="center"/>
      <protection locked="0" hidden="1"/>
    </xf>
    <xf numFmtId="0" fontId="1" fillId="3" borderId="0" xfId="0" applyFont="1" applyFill="1" applyAlignment="1" applyProtection="1">
      <alignment horizontal="center"/>
      <protection hidden="1"/>
    </xf>
    <xf numFmtId="167" fontId="1" fillId="0" borderId="0" xfId="0" applyNumberFormat="1" applyFont="1" applyAlignment="1" applyProtection="1">
      <alignment horizontal="center"/>
      <protection hidden="1"/>
    </xf>
    <xf numFmtId="0" fontId="33" fillId="13" borderId="86" xfId="0" applyFont="1" applyFill="1" applyBorder="1" applyAlignment="1" applyProtection="1">
      <alignment horizontal="center" vertical="center" wrapText="1"/>
      <protection hidden="1"/>
    </xf>
    <xf numFmtId="0" fontId="29" fillId="13" borderId="86" xfId="0" applyFont="1" applyFill="1" applyBorder="1" applyAlignment="1" applyProtection="1">
      <alignment horizontal="center" vertical="center" wrapText="1"/>
      <protection hidden="1"/>
    </xf>
    <xf numFmtId="0" fontId="34" fillId="13" borderId="86" xfId="0" applyFont="1" applyFill="1" applyBorder="1" applyAlignment="1" applyProtection="1">
      <alignment horizontal="center" vertical="center" wrapText="1"/>
      <protection hidden="1"/>
    </xf>
    <xf numFmtId="0" fontId="31" fillId="13" borderId="86" xfId="0" applyFont="1" applyFill="1" applyBorder="1" applyAlignment="1" applyProtection="1">
      <alignment horizontal="center" vertical="center" wrapText="1"/>
      <protection hidden="1"/>
    </xf>
    <xf numFmtId="0" fontId="29" fillId="2" borderId="89" xfId="0" applyFont="1" applyFill="1" applyBorder="1" applyAlignment="1" applyProtection="1">
      <alignment horizontal="center" vertical="center" wrapText="1"/>
      <protection hidden="1"/>
    </xf>
    <xf numFmtId="0" fontId="32" fillId="2" borderId="90" xfId="0" applyFont="1" applyFill="1" applyBorder="1" applyAlignment="1" applyProtection="1">
      <alignment horizontal="center" vertical="center" wrapText="1"/>
      <protection hidden="1"/>
    </xf>
    <xf numFmtId="0" fontId="29" fillId="2" borderId="90" xfId="0" applyFont="1" applyFill="1" applyBorder="1" applyAlignment="1" applyProtection="1">
      <alignment horizontal="center" vertical="center" wrapText="1"/>
      <protection hidden="1"/>
    </xf>
    <xf numFmtId="0" fontId="32" fillId="2" borderId="91" xfId="0" applyFont="1" applyFill="1" applyBorder="1" applyAlignment="1" applyProtection="1">
      <alignment horizontal="center" vertical="center" wrapText="1"/>
      <protection hidden="1"/>
    </xf>
    <xf numFmtId="14" fontId="21" fillId="13" borderId="82" xfId="0" applyNumberFormat="1" applyFont="1" applyFill="1" applyBorder="1" applyAlignment="1" applyProtection="1">
      <alignment horizontal="center" vertical="center"/>
      <protection locked="0" hidden="1"/>
    </xf>
    <xf numFmtId="165" fontId="36" fillId="13" borderId="82" xfId="0" applyNumberFormat="1" applyFont="1" applyFill="1" applyBorder="1" applyAlignment="1" applyProtection="1">
      <alignment horizontal="center" vertical="center"/>
      <protection locked="0" hidden="1"/>
    </xf>
    <xf numFmtId="166" fontId="36" fillId="13" borderId="82" xfId="0" applyNumberFormat="1" applyFont="1" applyFill="1" applyBorder="1" applyAlignment="1" applyProtection="1">
      <alignment horizontal="center" vertical="center"/>
      <protection locked="0" hidden="1"/>
    </xf>
    <xf numFmtId="14" fontId="21" fillId="13" borderId="86" xfId="0" applyNumberFormat="1" applyFont="1" applyFill="1" applyBorder="1" applyAlignment="1" applyProtection="1">
      <alignment horizontal="center" vertical="center"/>
      <protection locked="0" hidden="1"/>
    </xf>
    <xf numFmtId="165" fontId="36" fillId="13" borderId="86" xfId="0" applyNumberFormat="1" applyFont="1" applyFill="1" applyBorder="1" applyAlignment="1" applyProtection="1">
      <alignment horizontal="center" vertical="center"/>
      <protection locked="0" hidden="1"/>
    </xf>
    <xf numFmtId="166" fontId="36" fillId="13" borderId="86" xfId="0" applyNumberFormat="1" applyFont="1" applyFill="1" applyBorder="1" applyAlignment="1" applyProtection="1">
      <alignment horizontal="center" vertical="center"/>
      <protection locked="0" hidden="1"/>
    </xf>
    <xf numFmtId="14" fontId="21" fillId="2" borderId="82" xfId="0" applyNumberFormat="1" applyFont="1" applyFill="1" applyBorder="1" applyAlignment="1" applyProtection="1">
      <alignment horizontal="center" vertical="center"/>
      <protection locked="0" hidden="1"/>
    </xf>
    <xf numFmtId="165" fontId="36" fillId="2" borderId="82" xfId="0" applyNumberFormat="1" applyFont="1" applyFill="1" applyBorder="1" applyAlignment="1" applyProtection="1">
      <alignment horizontal="center" vertical="center"/>
      <protection locked="0" hidden="1"/>
    </xf>
    <xf numFmtId="166" fontId="36" fillId="2" borderId="82" xfId="0" applyNumberFormat="1" applyFont="1" applyFill="1" applyBorder="1" applyAlignment="1" applyProtection="1">
      <alignment horizontal="center" vertical="center"/>
      <protection locked="0" hidden="1"/>
    </xf>
    <xf numFmtId="14" fontId="21" fillId="2" borderId="93" xfId="0" applyNumberFormat="1" applyFont="1" applyFill="1" applyBorder="1" applyAlignment="1" applyProtection="1">
      <alignment horizontal="center" vertical="center"/>
      <protection locked="0" hidden="1"/>
    </xf>
    <xf numFmtId="165" fontId="36" fillId="2" borderId="93" xfId="0" applyNumberFormat="1" applyFont="1" applyFill="1" applyBorder="1" applyAlignment="1" applyProtection="1">
      <alignment horizontal="center" vertical="center"/>
      <protection locked="0" hidden="1"/>
    </xf>
    <xf numFmtId="166" fontId="36" fillId="2" borderId="93" xfId="0" applyNumberFormat="1" applyFont="1" applyFill="1" applyBorder="1" applyAlignment="1" applyProtection="1">
      <alignment horizontal="center" vertical="center"/>
      <protection locked="0" hidden="1"/>
    </xf>
    <xf numFmtId="14" fontId="21" fillId="13" borderId="90" xfId="0" applyNumberFormat="1" applyFont="1" applyFill="1" applyBorder="1" applyAlignment="1" applyProtection="1">
      <alignment horizontal="center" vertical="center"/>
      <protection locked="0" hidden="1"/>
    </xf>
    <xf numFmtId="165" fontId="36" fillId="13" borderId="90" xfId="0" applyNumberFormat="1" applyFont="1" applyFill="1" applyBorder="1" applyAlignment="1" applyProtection="1">
      <alignment horizontal="center" vertical="center"/>
      <protection locked="0" hidden="1"/>
    </xf>
    <xf numFmtId="166" fontId="36" fillId="13" borderId="90" xfId="0" applyNumberFormat="1" applyFont="1" applyFill="1" applyBorder="1" applyAlignment="1" applyProtection="1">
      <alignment horizontal="center" vertical="center"/>
      <protection locked="0" hidden="1"/>
    </xf>
    <xf numFmtId="14" fontId="21" fillId="2" borderId="90" xfId="0" applyNumberFormat="1" applyFont="1" applyFill="1" applyBorder="1" applyAlignment="1" applyProtection="1">
      <alignment horizontal="center" vertical="center"/>
      <protection locked="0" hidden="1"/>
    </xf>
    <xf numFmtId="165" fontId="36" fillId="2" borderId="90" xfId="0" applyNumberFormat="1" applyFont="1" applyFill="1" applyBorder="1" applyAlignment="1" applyProtection="1">
      <alignment horizontal="center" vertical="center"/>
      <protection locked="0" hidden="1"/>
    </xf>
    <xf numFmtId="166" fontId="36" fillId="2" borderId="90"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protection locked="0" hidden="1"/>
    </xf>
    <xf numFmtId="165" fontId="36" fillId="13" borderId="87" xfId="0" applyNumberFormat="1" applyFont="1" applyFill="1" applyBorder="1" applyAlignment="1" applyProtection="1">
      <alignment horizontal="center" vertical="center"/>
      <protection locked="0" hidden="1"/>
    </xf>
    <xf numFmtId="166" fontId="36" fillId="13" borderId="87" xfId="0" applyNumberFormat="1" applyFont="1" applyFill="1" applyBorder="1" applyAlignment="1" applyProtection="1">
      <alignment horizontal="center" vertical="center"/>
      <protection locked="0" hidden="1"/>
    </xf>
    <xf numFmtId="14" fontId="21" fillId="2" borderId="86" xfId="0" applyNumberFormat="1" applyFont="1" applyFill="1" applyBorder="1" applyAlignment="1" applyProtection="1">
      <alignment horizontal="center" vertical="center"/>
      <protection locked="0" hidden="1"/>
    </xf>
    <xf numFmtId="165" fontId="36" fillId="2" borderId="86" xfId="0" applyNumberFormat="1" applyFont="1" applyFill="1" applyBorder="1" applyAlignment="1" applyProtection="1">
      <alignment horizontal="center" vertical="center"/>
      <protection locked="0" hidden="1"/>
    </xf>
    <xf numFmtId="166" fontId="36" fillId="2" borderId="86" xfId="0" applyNumberFormat="1" applyFont="1" applyFill="1" applyBorder="1" applyAlignment="1" applyProtection="1">
      <alignment horizontal="center" vertical="center"/>
      <protection locked="0" hidden="1"/>
    </xf>
    <xf numFmtId="0" fontId="43" fillId="6" borderId="97" xfId="0" applyFont="1" applyFill="1" applyBorder="1" applyAlignment="1" applyProtection="1">
      <alignment horizontal="center" vertical="center"/>
      <protection hidden="1"/>
    </xf>
    <xf numFmtId="0" fontId="3" fillId="14" borderId="97" xfId="0" applyFont="1" applyFill="1" applyBorder="1" applyAlignment="1" applyProtection="1">
      <alignment horizontal="center" vertical="center"/>
      <protection hidden="1"/>
    </xf>
    <xf numFmtId="0" fontId="1" fillId="2" borderId="0" xfId="0" applyFont="1" applyFill="1" applyAlignment="1" applyProtection="1">
      <alignment horizontal="center"/>
      <protection hidden="1"/>
    </xf>
    <xf numFmtId="0" fontId="1" fillId="3" borderId="0" xfId="0" applyFont="1" applyFill="1" applyAlignment="1" applyProtection="1">
      <alignment horizontal="center"/>
      <protection hidden="1"/>
    </xf>
    <xf numFmtId="0" fontId="1" fillId="0" borderId="0" xfId="0" applyFont="1" applyProtection="1">
      <alignment vertical="center"/>
      <protection hidden="1"/>
    </xf>
    <xf numFmtId="0" fontId="56" fillId="2" borderId="71" xfId="0" applyFont="1" applyFill="1" applyBorder="1" applyAlignment="1" applyProtection="1">
      <alignment horizontal="right" vertical="center"/>
      <protection hidden="1"/>
    </xf>
    <xf numFmtId="0" fontId="57" fillId="2" borderId="71" xfId="0" applyFont="1" applyFill="1" applyBorder="1" applyAlignment="1" applyProtection="1">
      <alignment horizontal="center" vertical="center"/>
      <protection hidden="1"/>
    </xf>
    <xf numFmtId="0" fontId="56" fillId="2" borderId="71" xfId="0" applyFont="1" applyFill="1" applyBorder="1" applyProtection="1">
      <alignment vertical="center"/>
      <protection hidden="1"/>
    </xf>
    <xf numFmtId="0" fontId="60" fillId="0" borderId="115" xfId="0" applyFont="1" applyBorder="1" applyAlignment="1" applyProtection="1">
      <alignment horizontal="center" vertical="center" textRotation="90"/>
      <protection hidden="1"/>
    </xf>
    <xf numFmtId="0" fontId="60" fillId="0" borderId="116" xfId="0" applyFont="1" applyBorder="1" applyAlignment="1" applyProtection="1">
      <alignment horizontal="center" vertical="center" textRotation="90"/>
      <protection hidden="1"/>
    </xf>
    <xf numFmtId="0" fontId="60" fillId="17" borderId="116" xfId="0" applyFont="1" applyFill="1" applyBorder="1" applyAlignment="1" applyProtection="1">
      <alignment horizontal="center" vertical="center" textRotation="90"/>
      <protection locked="0" hidden="1"/>
    </xf>
    <xf numFmtId="0" fontId="60" fillId="0" borderId="117" xfId="0" applyFont="1" applyBorder="1" applyAlignment="1" applyProtection="1">
      <alignment horizontal="center" vertical="center" textRotation="90"/>
      <protection hidden="1"/>
    </xf>
    <xf numFmtId="0" fontId="60" fillId="0" borderId="118" xfId="0" applyFont="1" applyBorder="1" applyAlignment="1" applyProtection="1">
      <alignment horizontal="center" vertical="center" textRotation="90"/>
      <protection hidden="1"/>
    </xf>
    <xf numFmtId="0" fontId="60" fillId="0" borderId="119" xfId="0" applyFont="1" applyBorder="1" applyAlignment="1" applyProtection="1">
      <alignment horizontal="center" vertical="center" textRotation="90"/>
      <protection hidden="1"/>
    </xf>
    <xf numFmtId="0" fontId="60" fillId="17" borderId="119" xfId="0" applyFont="1" applyFill="1" applyBorder="1" applyAlignment="1" applyProtection="1">
      <alignment horizontal="center" vertical="center" textRotation="90"/>
      <protection locked="0" hidden="1"/>
    </xf>
    <xf numFmtId="0" fontId="60" fillId="0" borderId="120" xfId="0" applyFont="1" applyBorder="1" applyAlignment="1" applyProtection="1">
      <alignment horizontal="center" vertical="center" textRotation="90"/>
      <protection hidden="1"/>
    </xf>
    <xf numFmtId="0" fontId="60" fillId="0" borderId="118" xfId="0" applyFont="1" applyBorder="1" applyAlignment="1" applyProtection="1">
      <alignment horizontal="center" vertical="center" textRotation="90" wrapText="1"/>
      <protection hidden="1"/>
    </xf>
    <xf numFmtId="0" fontId="60" fillId="0" borderId="119" xfId="0" applyFont="1" applyBorder="1" applyAlignment="1" applyProtection="1">
      <alignment horizontal="center" vertical="center" textRotation="90" wrapText="1"/>
      <protection hidden="1"/>
    </xf>
    <xf numFmtId="0" fontId="60" fillId="0" borderId="120" xfId="0" applyFont="1" applyBorder="1" applyAlignment="1" applyProtection="1">
      <alignment horizontal="center" vertical="center" textRotation="90" wrapText="1"/>
      <protection hidden="1"/>
    </xf>
    <xf numFmtId="0" fontId="60" fillId="0" borderId="121" xfId="0" applyFont="1" applyBorder="1" applyAlignment="1" applyProtection="1">
      <alignment horizontal="center" vertical="center" textRotation="90" wrapText="1"/>
      <protection hidden="1"/>
    </xf>
    <xf numFmtId="169" fontId="61" fillId="3" borderId="48" xfId="0" applyNumberFormat="1" applyFont="1" applyFill="1" applyBorder="1" applyAlignment="1" applyProtection="1">
      <alignment horizontal="center" vertical="center"/>
      <protection hidden="1"/>
    </xf>
    <xf numFmtId="1" fontId="61" fillId="3" borderId="48" xfId="0" applyNumberFormat="1" applyFont="1" applyFill="1" applyBorder="1" applyAlignment="1" applyProtection="1">
      <alignment horizontal="center" vertical="center"/>
      <protection hidden="1"/>
    </xf>
    <xf numFmtId="1" fontId="61" fillId="3" borderId="0" xfId="0" applyNumberFormat="1" applyFont="1" applyFill="1" applyBorder="1" applyAlignment="1" applyProtection="1">
      <alignment horizontal="center" vertical="center"/>
      <protection hidden="1"/>
    </xf>
    <xf numFmtId="0" fontId="62" fillId="2" borderId="124" xfId="0" applyFont="1" applyFill="1" applyBorder="1" applyAlignment="1" applyProtection="1">
      <alignment horizontal="center" vertical="center"/>
      <protection locked="0" hidden="1"/>
    </xf>
    <xf numFmtId="167" fontId="62" fillId="2" borderId="125" xfId="0" applyNumberFormat="1" applyFont="1" applyFill="1" applyBorder="1" applyAlignment="1" applyProtection="1">
      <alignment horizontal="center" vertical="center" wrapText="1"/>
      <protection locked="0" hidden="1"/>
    </xf>
    <xf numFmtId="1" fontId="62" fillId="2" borderId="126" xfId="0" applyNumberFormat="1" applyFont="1" applyFill="1" applyBorder="1" applyAlignment="1" applyProtection="1">
      <alignment horizontal="center" vertical="center"/>
      <protection locked="0" hidden="1"/>
    </xf>
    <xf numFmtId="1" fontId="62" fillId="2" borderId="127" xfId="0" applyNumberFormat="1" applyFont="1" applyFill="1" applyBorder="1" applyAlignment="1" applyProtection="1">
      <alignment horizontal="center" vertical="center"/>
      <protection locked="0" hidden="1"/>
    </xf>
    <xf numFmtId="1" fontId="58" fillId="2" borderId="128" xfId="0" applyNumberFormat="1" applyFont="1" applyFill="1" applyBorder="1" applyAlignment="1" applyProtection="1">
      <alignment horizontal="center" vertical="center"/>
      <protection locked="0" hidden="1"/>
    </xf>
    <xf numFmtId="1" fontId="62" fillId="2" borderId="129" xfId="0" applyNumberFormat="1" applyFont="1" applyFill="1" applyBorder="1" applyAlignment="1" applyProtection="1">
      <alignment horizontal="center" vertical="center"/>
      <protection locked="0" hidden="1"/>
    </xf>
    <xf numFmtId="1" fontId="62" fillId="2" borderId="130" xfId="0" applyNumberFormat="1" applyFont="1" applyFill="1" applyBorder="1" applyAlignment="1" applyProtection="1">
      <alignment horizontal="center" vertical="center"/>
      <protection locked="0" hidden="1"/>
    </xf>
    <xf numFmtId="1" fontId="58" fillId="2" borderId="131" xfId="0" applyNumberFormat="1" applyFont="1" applyFill="1" applyBorder="1" applyAlignment="1" applyProtection="1">
      <alignment horizontal="center" vertical="center"/>
      <protection locked="0" hidden="1"/>
    </xf>
    <xf numFmtId="1" fontId="58" fillId="2" borderId="132" xfId="0" applyNumberFormat="1" applyFont="1" applyFill="1" applyBorder="1" applyAlignment="1" applyProtection="1">
      <alignment horizontal="center" vertical="center"/>
      <protection locked="0" hidden="1"/>
    </xf>
    <xf numFmtId="1" fontId="62" fillId="2" borderId="133" xfId="0" applyNumberFormat="1" applyFont="1" applyFill="1" applyBorder="1" applyAlignment="1" applyProtection="1">
      <alignment horizontal="center" vertical="center"/>
      <protection locked="0" hidden="1"/>
    </xf>
    <xf numFmtId="1" fontId="62" fillId="17" borderId="133" xfId="0" applyNumberFormat="1" applyFont="1" applyFill="1" applyBorder="1" applyAlignment="1" applyProtection="1">
      <alignment horizontal="center" vertical="center"/>
      <protection locked="0" hidden="1"/>
    </xf>
    <xf numFmtId="1" fontId="62" fillId="17" borderId="130" xfId="0" applyNumberFormat="1" applyFont="1" applyFill="1" applyBorder="1" applyAlignment="1" applyProtection="1">
      <alignment horizontal="center" vertical="center"/>
      <protection locked="0" hidden="1"/>
    </xf>
    <xf numFmtId="1" fontId="62" fillId="17" borderId="129" xfId="0" applyNumberFormat="1" applyFont="1" applyFill="1" applyBorder="1" applyAlignment="1" applyProtection="1">
      <alignment horizontal="center" vertical="center"/>
      <protection locked="0" hidden="1"/>
    </xf>
    <xf numFmtId="1" fontId="58" fillId="2" borderId="134" xfId="0" applyNumberFormat="1" applyFont="1" applyFill="1" applyBorder="1" applyAlignment="1" applyProtection="1">
      <alignment horizontal="center" vertical="center"/>
      <protection locked="0" hidden="1"/>
    </xf>
    <xf numFmtId="1" fontId="58" fillId="2" borderId="135" xfId="0" applyNumberFormat="1" applyFont="1" applyFill="1" applyBorder="1" applyAlignment="1" applyProtection="1">
      <alignment horizontal="center" vertical="center"/>
      <protection locked="0" hidden="1"/>
    </xf>
    <xf numFmtId="1" fontId="58" fillId="2" borderId="136" xfId="0" applyNumberFormat="1" applyFont="1" applyFill="1" applyBorder="1" applyAlignment="1" applyProtection="1">
      <alignment horizontal="center" vertical="center"/>
      <protection locked="0" hidden="1"/>
    </xf>
    <xf numFmtId="1" fontId="59" fillId="2" borderId="137" xfId="0" applyNumberFormat="1" applyFont="1" applyFill="1" applyBorder="1" applyAlignment="1" applyProtection="1">
      <alignment horizontal="center" vertical="center"/>
      <protection locked="0" hidden="1"/>
    </xf>
    <xf numFmtId="1" fontId="63" fillId="2" borderId="138" xfId="0" applyNumberFormat="1" applyFont="1" applyFill="1" applyBorder="1" applyAlignment="1" applyProtection="1">
      <alignment horizontal="center" vertical="center" wrapText="1"/>
      <protection locked="0" hidden="1"/>
    </xf>
    <xf numFmtId="0" fontId="62" fillId="2" borderId="92" xfId="0" applyFont="1" applyFill="1" applyBorder="1" applyAlignment="1" applyProtection="1">
      <alignment horizontal="center" vertical="center"/>
      <protection locked="0" hidden="1"/>
    </xf>
    <xf numFmtId="170" fontId="62" fillId="2" borderId="139" xfId="0" applyNumberFormat="1" applyFont="1" applyFill="1" applyBorder="1" applyAlignment="1" applyProtection="1">
      <alignment horizontal="center" vertical="center"/>
      <protection locked="0" hidden="1"/>
    </xf>
    <xf numFmtId="1" fontId="62" fillId="2" borderId="140" xfId="0" applyNumberFormat="1" applyFont="1" applyFill="1" applyBorder="1" applyAlignment="1" applyProtection="1">
      <alignment horizontal="center" vertical="center"/>
      <protection locked="0" hidden="1"/>
    </xf>
    <xf numFmtId="1" fontId="62" fillId="2" borderId="13" xfId="0" applyNumberFormat="1" applyFont="1" applyFill="1" applyBorder="1" applyAlignment="1" applyProtection="1">
      <alignment horizontal="center" vertical="center"/>
      <protection locked="0" hidden="1"/>
    </xf>
    <xf numFmtId="1" fontId="58" fillId="2" borderId="141" xfId="0" applyNumberFormat="1" applyFont="1" applyFill="1" applyBorder="1" applyAlignment="1" applyProtection="1">
      <alignment horizontal="center" vertical="center"/>
      <protection locked="0" hidden="1"/>
    </xf>
    <xf numFmtId="1" fontId="62" fillId="2" borderId="142" xfId="0" applyNumberFormat="1" applyFont="1" applyFill="1" applyBorder="1" applyAlignment="1" applyProtection="1">
      <alignment horizontal="center" vertical="center"/>
      <protection locked="0" hidden="1"/>
    </xf>
    <xf numFmtId="1" fontId="62" fillId="2" borderId="143" xfId="0" applyNumberFormat="1" applyFont="1" applyFill="1" applyBorder="1" applyAlignment="1" applyProtection="1">
      <alignment horizontal="center" vertical="center"/>
      <protection locked="0" hidden="1"/>
    </xf>
    <xf numFmtId="1" fontId="62" fillId="2" borderId="108" xfId="0" applyNumberFormat="1" applyFont="1" applyFill="1" applyBorder="1" applyAlignment="1" applyProtection="1">
      <alignment horizontal="center" vertical="center"/>
      <protection locked="0" hidden="1"/>
    </xf>
    <xf numFmtId="1" fontId="58" fillId="2" borderId="109" xfId="0" applyNumberFormat="1" applyFont="1" applyFill="1" applyBorder="1" applyAlignment="1" applyProtection="1">
      <alignment horizontal="center" vertical="center"/>
      <protection locked="0" hidden="1"/>
    </xf>
    <xf numFmtId="1" fontId="62" fillId="2" borderId="144" xfId="0" applyNumberFormat="1" applyFont="1" applyFill="1" applyBorder="1" applyAlignment="1" applyProtection="1">
      <alignment horizontal="center" vertical="center"/>
      <protection locked="0" hidden="1"/>
    </xf>
    <xf numFmtId="1" fontId="58" fillId="2" borderId="145" xfId="0" applyNumberFormat="1" applyFont="1" applyFill="1" applyBorder="1" applyAlignment="1" applyProtection="1">
      <alignment horizontal="center" vertical="center"/>
      <protection locked="0" hidden="1"/>
    </xf>
    <xf numFmtId="1" fontId="62" fillId="2" borderId="95" xfId="0" applyNumberFormat="1" applyFont="1" applyFill="1" applyBorder="1" applyAlignment="1" applyProtection="1">
      <alignment horizontal="center" vertical="center"/>
      <protection locked="0" hidden="1"/>
    </xf>
    <xf numFmtId="1" fontId="62" fillId="2" borderId="146" xfId="0" applyNumberFormat="1" applyFont="1" applyFill="1" applyBorder="1" applyAlignment="1" applyProtection="1">
      <alignment horizontal="center" vertical="center"/>
      <protection locked="0" hidden="1"/>
    </xf>
    <xf numFmtId="1" fontId="58" fillId="2" borderId="147" xfId="0" applyNumberFormat="1" applyFont="1" applyFill="1" applyBorder="1" applyAlignment="1" applyProtection="1">
      <alignment horizontal="center" vertical="center"/>
      <protection locked="0" hidden="1"/>
    </xf>
    <xf numFmtId="1" fontId="58" fillId="2" borderId="111" xfId="0" applyNumberFormat="1" applyFont="1" applyFill="1" applyBorder="1" applyAlignment="1" applyProtection="1">
      <alignment horizontal="center" vertical="center"/>
      <protection locked="0" hidden="1"/>
    </xf>
    <xf numFmtId="1" fontId="58" fillId="2" borderId="148" xfId="0" applyNumberFormat="1" applyFont="1" applyFill="1" applyBorder="1" applyAlignment="1" applyProtection="1">
      <alignment horizontal="center" vertical="center"/>
      <protection locked="0" hidden="1"/>
    </xf>
    <xf numFmtId="1" fontId="59" fillId="2" borderId="149" xfId="0" applyNumberFormat="1" applyFont="1" applyFill="1" applyBorder="1" applyAlignment="1" applyProtection="1">
      <alignment horizontal="center" vertical="center"/>
      <protection locked="0" hidden="1"/>
    </xf>
    <xf numFmtId="1" fontId="63" fillId="2" borderId="150" xfId="0" applyNumberFormat="1" applyFont="1" applyFill="1" applyBorder="1" applyAlignment="1" applyProtection="1">
      <alignment horizontal="center" vertical="center" wrapText="1"/>
      <protection locked="0" hidden="1"/>
    </xf>
    <xf numFmtId="1" fontId="62" fillId="2" borderId="119" xfId="0" applyNumberFormat="1" applyFont="1" applyFill="1" applyBorder="1" applyAlignment="1" applyProtection="1">
      <alignment horizontal="center" vertical="center"/>
      <protection locked="0" hidden="1"/>
    </xf>
    <xf numFmtId="1" fontId="62" fillId="2" borderId="118" xfId="0" applyNumberFormat="1" applyFont="1" applyFill="1" applyBorder="1" applyAlignment="1" applyProtection="1">
      <alignment horizontal="center" vertical="center"/>
      <protection locked="0" hidden="1"/>
    </xf>
    <xf numFmtId="1" fontId="58" fillId="2" borderId="151" xfId="0" applyNumberFormat="1" applyFont="1" applyFill="1" applyBorder="1" applyAlignment="1" applyProtection="1">
      <alignment horizontal="center" vertical="center"/>
      <protection locked="0" hidden="1"/>
    </xf>
    <xf numFmtId="1" fontId="62" fillId="2" borderId="85" xfId="0" applyNumberFormat="1" applyFont="1" applyFill="1" applyBorder="1" applyAlignment="1" applyProtection="1">
      <alignment horizontal="center" vertical="center"/>
      <protection locked="0" hidden="1"/>
    </xf>
    <xf numFmtId="1" fontId="62" fillId="2" borderId="152" xfId="0" applyNumberFormat="1" applyFont="1" applyFill="1" applyBorder="1" applyAlignment="1" applyProtection="1">
      <alignment horizontal="center" vertical="center"/>
      <protection locked="0" hidden="1"/>
    </xf>
    <xf numFmtId="1" fontId="58" fillId="2" borderId="121" xfId="0" applyNumberFormat="1" applyFont="1" applyFill="1" applyBorder="1" applyAlignment="1" applyProtection="1">
      <alignment horizontal="center" vertical="center"/>
      <protection locked="0" hidden="1"/>
    </xf>
    <xf numFmtId="1" fontId="58" fillId="2" borderId="153" xfId="0" applyNumberFormat="1" applyFont="1" applyFill="1" applyBorder="1" applyAlignment="1" applyProtection="1">
      <alignment horizontal="center" vertical="center"/>
      <protection locked="0" hidden="1"/>
    </xf>
    <xf numFmtId="1" fontId="58" fillId="2" borderId="154" xfId="0" applyNumberFormat="1" applyFont="1" applyFill="1" applyBorder="1" applyAlignment="1" applyProtection="1">
      <alignment horizontal="center" vertical="center"/>
      <protection locked="0" hidden="1"/>
    </xf>
    <xf numFmtId="1" fontId="58" fillId="2" borderId="155" xfId="0" applyNumberFormat="1" applyFont="1" applyFill="1" applyBorder="1" applyAlignment="1" applyProtection="1">
      <alignment horizontal="center" vertical="center"/>
      <protection locked="0" hidden="1"/>
    </xf>
    <xf numFmtId="1" fontId="59" fillId="2" borderId="156" xfId="0" applyNumberFormat="1" applyFont="1" applyFill="1" applyBorder="1" applyAlignment="1" applyProtection="1">
      <alignment horizontal="center" vertical="center"/>
      <protection locked="0" hidden="1"/>
    </xf>
    <xf numFmtId="0" fontId="62" fillId="2" borderId="85" xfId="0" applyFont="1" applyFill="1" applyBorder="1" applyAlignment="1" applyProtection="1">
      <alignment horizontal="center" vertical="center"/>
      <protection locked="0" hidden="1"/>
    </xf>
    <xf numFmtId="0" fontId="62" fillId="2" borderId="157" xfId="0" applyFont="1" applyFill="1" applyBorder="1" applyAlignment="1" applyProtection="1">
      <alignment horizontal="center" vertical="center"/>
      <protection locked="0" hidden="1"/>
    </xf>
    <xf numFmtId="1" fontId="58" fillId="2" borderId="120" xfId="0" applyNumberFormat="1" applyFont="1" applyFill="1" applyBorder="1" applyAlignment="1" applyProtection="1">
      <alignment horizontal="center" vertical="center"/>
      <protection locked="0" hidden="1"/>
    </xf>
    <xf numFmtId="1" fontId="62" fillId="2" borderId="92" xfId="0" applyNumberFormat="1" applyFont="1" applyFill="1" applyBorder="1" applyAlignment="1" applyProtection="1">
      <alignment horizontal="center" vertical="center"/>
      <protection locked="0" hidden="1"/>
    </xf>
    <xf numFmtId="1" fontId="58" fillId="2" borderId="122" xfId="0" applyNumberFormat="1" applyFont="1" applyFill="1" applyBorder="1" applyAlignment="1" applyProtection="1">
      <alignment horizontal="center" vertical="center"/>
      <protection locked="0" hidden="1"/>
    </xf>
    <xf numFmtId="1" fontId="58" fillId="2" borderId="159" xfId="0" applyNumberFormat="1" applyFont="1" applyFill="1" applyBorder="1" applyAlignment="1" applyProtection="1">
      <alignment horizontal="center" vertical="center"/>
      <protection locked="0" hidden="1"/>
    </xf>
    <xf numFmtId="1" fontId="63" fillId="2" borderId="77" xfId="0" applyNumberFormat="1" applyFont="1" applyFill="1" applyBorder="1" applyAlignment="1" applyProtection="1">
      <alignment horizontal="center" vertical="center" wrapText="1"/>
      <protection locked="0" hidden="1"/>
    </xf>
    <xf numFmtId="167" fontId="1" fillId="3" borderId="0" xfId="0" applyNumberFormat="1" applyFont="1" applyFill="1" applyAlignment="1" applyProtection="1">
      <alignment horizontal="center"/>
      <protection hidden="1"/>
    </xf>
    <xf numFmtId="1" fontId="65" fillId="13" borderId="161" xfId="0" applyNumberFormat="1" applyFont="1" applyFill="1" applyBorder="1" applyAlignment="1" applyProtection="1">
      <alignment horizontal="center" vertical="center" textRotation="90"/>
      <protection locked="0" hidden="1"/>
    </xf>
    <xf numFmtId="1" fontId="59" fillId="13" borderId="162" xfId="0" applyNumberFormat="1" applyFont="1" applyFill="1" applyBorder="1" applyAlignment="1" applyProtection="1">
      <alignment horizontal="center" vertical="center" textRotation="90"/>
      <protection locked="0" hidden="1"/>
    </xf>
    <xf numFmtId="1" fontId="65" fillId="13" borderId="163" xfId="0" applyNumberFormat="1" applyFont="1" applyFill="1" applyBorder="1" applyAlignment="1" applyProtection="1">
      <alignment horizontal="center" vertical="center" textRotation="90"/>
      <protection locked="0" hidden="1"/>
    </xf>
    <xf numFmtId="1" fontId="65" fillId="13" borderId="164" xfId="0" applyNumberFormat="1" applyFont="1" applyFill="1" applyBorder="1" applyAlignment="1" applyProtection="1">
      <alignment horizontal="center" vertical="center" textRotation="90"/>
      <protection locked="0" hidden="1"/>
    </xf>
    <xf numFmtId="1" fontId="59" fillId="13" borderId="164" xfId="0" applyNumberFormat="1" applyFont="1" applyFill="1" applyBorder="1" applyAlignment="1" applyProtection="1">
      <alignment horizontal="center" vertical="center" textRotation="90"/>
      <protection hidden="1"/>
    </xf>
    <xf numFmtId="1" fontId="59" fillId="13" borderId="165" xfId="0" applyNumberFormat="1" applyFont="1" applyFill="1" applyBorder="1" applyAlignment="1" applyProtection="1">
      <alignment horizontal="center" vertical="center" textRotation="90"/>
      <protection locked="0" hidden="1"/>
    </xf>
    <xf numFmtId="1" fontId="59" fillId="13" borderId="166" xfId="0" applyNumberFormat="1" applyFont="1" applyFill="1" applyBorder="1" applyAlignment="1" applyProtection="1">
      <alignment horizontal="center" vertical="center" textRotation="90"/>
      <protection locked="0" hidden="1"/>
    </xf>
    <xf numFmtId="1" fontId="59" fillId="13" borderId="167" xfId="0" applyNumberFormat="1" applyFont="1" applyFill="1" applyBorder="1" applyAlignment="1" applyProtection="1">
      <alignment horizontal="center" vertical="center" textRotation="90"/>
      <protection locked="0" hidden="1"/>
    </xf>
    <xf numFmtId="1" fontId="59" fillId="18" borderId="72" xfId="0" applyNumberFormat="1" applyFont="1" applyFill="1" applyBorder="1" applyAlignment="1" applyProtection="1">
      <alignment horizontal="center" vertical="center" textRotation="90"/>
      <protection hidden="1"/>
    </xf>
    <xf numFmtId="0" fontId="68" fillId="0" borderId="168" xfId="0" applyFont="1" applyBorder="1" applyAlignment="1" applyProtection="1">
      <alignment horizontal="right" vertical="center"/>
      <protection hidden="1"/>
    </xf>
    <xf numFmtId="0" fontId="68" fillId="0" borderId="118" xfId="0" applyFont="1" applyBorder="1" applyAlignment="1" applyProtection="1">
      <alignment horizontal="right" vertical="center"/>
      <protection hidden="1"/>
    </xf>
    <xf numFmtId="0" fontId="68" fillId="0" borderId="175" xfId="0" applyFont="1" applyBorder="1" applyAlignment="1" applyProtection="1">
      <alignment horizontal="right" vertical="center"/>
      <protection hidden="1"/>
    </xf>
    <xf numFmtId="0" fontId="68" fillId="0" borderId="107" xfId="0" applyFont="1" applyBorder="1" applyAlignment="1" applyProtection="1">
      <alignment horizontal="right" vertical="center"/>
      <protection hidden="1"/>
    </xf>
    <xf numFmtId="0" fontId="68" fillId="0" borderId="142" xfId="0" applyFont="1" applyBorder="1" applyAlignment="1" applyProtection="1">
      <alignment horizontal="right" vertical="center"/>
      <protection hidden="1"/>
    </xf>
    <xf numFmtId="0" fontId="74" fillId="0" borderId="107" xfId="0" applyFont="1" applyBorder="1" applyAlignment="1" applyProtection="1">
      <alignment horizontal="center" vertical="center"/>
      <protection hidden="1"/>
    </xf>
    <xf numFmtId="0" fontId="75" fillId="0" borderId="0" xfId="0" applyFont="1" applyAlignment="1" applyProtection="1">
      <protection hidden="1"/>
    </xf>
    <xf numFmtId="0" fontId="75" fillId="0" borderId="0" xfId="0" applyFont="1" applyAlignment="1" applyProtection="1">
      <alignment horizontal="left" indent="1"/>
      <protection hidden="1"/>
    </xf>
    <xf numFmtId="14" fontId="75" fillId="0" borderId="0" xfId="0" applyNumberFormat="1" applyFont="1" applyAlignment="1" applyProtection="1">
      <alignment horizontal="left" indent="1"/>
      <protection hidden="1"/>
    </xf>
    <xf numFmtId="0" fontId="75" fillId="0" borderId="0" xfId="0" applyFont="1" applyAlignment="1" applyProtection="1">
      <alignment horizontal="justify" vertical="justify" wrapText="1"/>
      <protection hidden="1"/>
    </xf>
    <xf numFmtId="0" fontId="75" fillId="0" borderId="0" xfId="0" applyFont="1" applyAlignment="1" applyProtection="1">
      <alignment horizontal="left" indent="5"/>
      <protection hidden="1"/>
    </xf>
    <xf numFmtId="0" fontId="75" fillId="0" borderId="0" xfId="0" applyFont="1" applyAlignment="1" applyProtection="1">
      <alignment horizontal="left" indent="6"/>
      <protection hidden="1"/>
    </xf>
    <xf numFmtId="0" fontId="75" fillId="0" borderId="0" xfId="0" applyFont="1" applyAlignment="1" applyProtection="1">
      <alignment horizontal="left" indent="9"/>
      <protection hidden="1"/>
    </xf>
    <xf numFmtId="0" fontId="75" fillId="0" borderId="0" xfId="0" applyFont="1" applyAlignment="1" applyProtection="1">
      <alignment horizontal="left" indent="14"/>
      <protection hidden="1"/>
    </xf>
    <xf numFmtId="0" fontId="75" fillId="0" borderId="0" xfId="0" applyFont="1" applyAlignment="1" applyProtection="1">
      <alignment horizontal="left" indent="10"/>
      <protection hidden="1"/>
    </xf>
    <xf numFmtId="0" fontId="1" fillId="0" borderId="0" xfId="0" applyFont="1" applyAlignment="1" applyProtection="1">
      <protection hidden="1"/>
    </xf>
    <xf numFmtId="0" fontId="1" fillId="0" borderId="0" xfId="0" applyFont="1" applyFill="1" applyBorder="1" applyAlignment="1">
      <alignment horizontal="left" vertical="top"/>
    </xf>
    <xf numFmtId="0" fontId="76" fillId="0" borderId="0" xfId="0" applyFont="1" applyFill="1" applyBorder="1" applyAlignment="1">
      <alignment horizontal="left" vertical="top"/>
    </xf>
    <xf numFmtId="0" fontId="77" fillId="0" borderId="185" xfId="0" applyFont="1" applyFill="1" applyBorder="1" applyAlignment="1">
      <alignment horizontal="center" vertical="center" wrapText="1"/>
    </xf>
    <xf numFmtId="0" fontId="78" fillId="0" borderId="0" xfId="0" applyFont="1" applyFill="1" applyBorder="1" applyAlignment="1">
      <alignment horizontal="justify" vertical="justify" wrapText="1"/>
    </xf>
    <xf numFmtId="0" fontId="79" fillId="0" borderId="0" xfId="0" applyFont="1" applyAlignment="1"/>
    <xf numFmtId="0" fontId="80" fillId="0" borderId="0" xfId="0" applyFont="1" applyFill="1" applyBorder="1" applyAlignment="1">
      <alignment horizontal="left" vertical="top" wrapText="1" indent="3"/>
    </xf>
    <xf numFmtId="0" fontId="81" fillId="0" borderId="0" xfId="0" applyFont="1" applyFill="1" applyBorder="1" applyAlignment="1">
      <alignment horizontal="center" vertical="top" wrapText="1"/>
    </xf>
    <xf numFmtId="0" fontId="76" fillId="0" borderId="0" xfId="0" applyFont="1" applyFill="1" applyBorder="1" applyAlignment="1">
      <alignment horizontal="center" vertical="top"/>
    </xf>
    <xf numFmtId="0" fontId="80" fillId="0" borderId="0" xfId="0" applyFont="1" applyFill="1" applyBorder="1" applyAlignment="1">
      <alignment horizontal="left" vertical="top" wrapText="1"/>
    </xf>
    <xf numFmtId="0" fontId="76" fillId="0" borderId="190" xfId="0" applyFont="1" applyFill="1" applyBorder="1" applyAlignment="1">
      <alignment horizontal="left" vertical="top"/>
    </xf>
    <xf numFmtId="0" fontId="84" fillId="0" borderId="0" xfId="0" applyFont="1" applyAlignment="1" applyProtection="1">
      <protection hidden="1"/>
    </xf>
    <xf numFmtId="0" fontId="12" fillId="17" borderId="86" xfId="2" applyFont="1" applyFill="1" applyBorder="1" applyAlignment="1" applyProtection="1">
      <alignment horizontal="center" vertical="center" wrapText="1"/>
      <protection hidden="1"/>
    </xf>
    <xf numFmtId="0" fontId="12" fillId="2" borderId="86" xfId="2" applyFont="1" applyFill="1" applyBorder="1" applyAlignment="1" applyProtection="1">
      <alignment horizontal="center" vertical="center" wrapText="1"/>
      <protection hidden="1"/>
    </xf>
    <xf numFmtId="0" fontId="85" fillId="2" borderId="86" xfId="2" applyFont="1" applyFill="1" applyBorder="1" applyAlignment="1" applyProtection="1">
      <alignment horizontal="center" vertical="center"/>
      <protection hidden="1"/>
    </xf>
    <xf numFmtId="0" fontId="12" fillId="20" borderId="86" xfId="2" applyFont="1" applyFill="1" applyBorder="1" applyAlignment="1" applyProtection="1">
      <alignment horizontal="center" vertical="center" wrapText="1"/>
      <protection hidden="1"/>
    </xf>
    <xf numFmtId="0" fontId="12" fillId="20" borderId="86" xfId="2" applyFont="1" applyFill="1" applyBorder="1" applyAlignment="1" applyProtection="1">
      <alignment horizontal="center" vertical="center"/>
      <protection hidden="1"/>
    </xf>
    <xf numFmtId="166" fontId="12" fillId="20" borderId="86" xfId="2" applyNumberFormat="1"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protection hidden="1"/>
    </xf>
    <xf numFmtId="0" fontId="85" fillId="21" borderId="86" xfId="2"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wrapText="1"/>
    </xf>
    <xf numFmtId="0" fontId="12" fillId="2" borderId="86" xfId="2" applyFont="1" applyFill="1" applyBorder="1" applyAlignment="1" applyProtection="1">
      <alignment horizontal="center" vertical="center" wrapText="1"/>
    </xf>
    <xf numFmtId="0" fontId="12" fillId="20" borderId="86" xfId="2" applyFont="1" applyFill="1" applyBorder="1" applyAlignment="1" applyProtection="1">
      <alignment horizontal="center" vertical="center" wrapText="1"/>
    </xf>
    <xf numFmtId="0" fontId="12" fillId="20" borderId="86" xfId="2" applyFont="1" applyFill="1" applyBorder="1" applyAlignment="1" applyProtection="1">
      <alignment horizontal="center" vertical="center"/>
    </xf>
    <xf numFmtId="0" fontId="12" fillId="17" borderId="86" xfId="2" applyFont="1" applyFill="1" applyBorder="1" applyAlignment="1" applyProtection="1">
      <alignment horizontal="center" vertical="center"/>
    </xf>
    <xf numFmtId="0" fontId="85" fillId="2" borderId="86" xfId="2" applyFont="1" applyFill="1" applyBorder="1" applyAlignment="1" applyProtection="1">
      <alignment horizontal="center" vertical="center"/>
    </xf>
    <xf numFmtId="166" fontId="12" fillId="20" borderId="86" xfId="2" applyNumberFormat="1" applyFont="1" applyFill="1" applyBorder="1" applyAlignment="1" applyProtection="1">
      <alignment horizontal="center" vertical="center"/>
    </xf>
    <xf numFmtId="0" fontId="85" fillId="21" borderId="86" xfId="2" applyFont="1" applyFill="1" applyBorder="1" applyAlignment="1" applyProtection="1">
      <alignment horizontal="center" vertical="center"/>
    </xf>
    <xf numFmtId="0" fontId="2" fillId="4" borderId="1" xfId="0" applyFont="1" applyFill="1" applyBorder="1" applyAlignment="1" applyProtection="1">
      <alignment horizontal="center" vertical="center" wrapText="1"/>
      <protection hidden="1"/>
    </xf>
    <xf numFmtId="0" fontId="2" fillId="4" borderId="2" xfId="0" applyFont="1" applyFill="1" applyBorder="1" applyAlignment="1" applyProtection="1">
      <alignment horizontal="center" vertical="center" wrapText="1"/>
      <protection hidden="1"/>
    </xf>
    <xf numFmtId="14" fontId="23" fillId="2" borderId="6" xfId="0" applyNumberFormat="1" applyFont="1" applyFill="1" applyBorder="1" applyAlignment="1" applyProtection="1">
      <alignment horizontal="center" vertical="center" textRotation="90"/>
      <protection locked="0" hidden="1"/>
    </xf>
    <xf numFmtId="14" fontId="23" fillId="2" borderId="24" xfId="0" applyNumberFormat="1" applyFont="1" applyFill="1" applyBorder="1" applyAlignment="1" applyProtection="1">
      <alignment horizontal="center" vertical="center" textRotation="90"/>
      <protection locked="0" hidden="1"/>
    </xf>
    <xf numFmtId="0" fontId="24" fillId="11" borderId="54" xfId="0" applyFont="1" applyFill="1" applyBorder="1" applyAlignment="1" applyProtection="1">
      <alignment horizontal="center" vertical="center"/>
      <protection hidden="1"/>
    </xf>
    <xf numFmtId="0" fontId="24" fillId="11" borderId="63" xfId="0" applyFont="1" applyFill="1" applyBorder="1" applyAlignment="1" applyProtection="1">
      <alignment horizontal="center" vertical="center"/>
      <protection hidden="1"/>
    </xf>
    <xf numFmtId="166" fontId="21" fillId="10" borderId="52" xfId="0" applyNumberFormat="1" applyFont="1" applyFill="1" applyBorder="1" applyAlignment="1" applyProtection="1">
      <alignment horizontal="center" vertical="center"/>
      <protection locked="0"/>
    </xf>
    <xf numFmtId="166" fontId="21" fillId="10" borderId="68" xfId="0" applyNumberFormat="1" applyFont="1" applyFill="1" applyBorder="1" applyAlignment="1" applyProtection="1">
      <alignment horizontal="center" vertical="center"/>
      <protection locked="0"/>
    </xf>
    <xf numFmtId="165" fontId="21" fillId="10" borderId="50" xfId="0" applyNumberFormat="1" applyFont="1" applyFill="1" applyBorder="1" applyAlignment="1" applyProtection="1">
      <alignment horizontal="center" vertical="center"/>
      <protection locked="0"/>
    </xf>
    <xf numFmtId="165" fontId="21" fillId="10" borderId="56" xfId="0" applyNumberFormat="1" applyFont="1" applyFill="1" applyBorder="1" applyAlignment="1" applyProtection="1">
      <alignment horizontal="center" vertical="center"/>
      <protection locked="0"/>
    </xf>
    <xf numFmtId="166" fontId="17" fillId="0" borderId="54" xfId="0" applyNumberFormat="1" applyFont="1" applyBorder="1" applyAlignment="1" applyProtection="1">
      <alignment horizontal="center" vertical="center"/>
      <protection hidden="1"/>
    </xf>
    <xf numFmtId="166" fontId="17" fillId="0" borderId="63" xfId="0" applyNumberFormat="1" applyFont="1" applyBorder="1" applyAlignment="1" applyProtection="1">
      <alignment horizontal="center" vertical="center"/>
      <protection hidden="1"/>
    </xf>
    <xf numFmtId="165" fontId="17" fillId="0" borderId="54" xfId="0" applyNumberFormat="1" applyFont="1" applyBorder="1" applyAlignment="1" applyProtection="1">
      <alignment horizontal="center" vertical="center"/>
      <protection hidden="1"/>
    </xf>
    <xf numFmtId="165" fontId="17" fillId="0" borderId="63" xfId="0" applyNumberFormat="1" applyFont="1" applyBorder="1" applyAlignment="1" applyProtection="1">
      <alignment horizontal="center" vertical="center"/>
      <protection hidden="1"/>
    </xf>
    <xf numFmtId="14" fontId="23" fillId="2" borderId="8" xfId="0" applyNumberFormat="1" applyFont="1" applyFill="1" applyBorder="1" applyAlignment="1" applyProtection="1">
      <alignment horizontal="center" vertical="center" textRotation="90"/>
      <protection locked="0"/>
    </xf>
    <xf numFmtId="14" fontId="23" fillId="2" borderId="25" xfId="0" applyNumberFormat="1" applyFont="1" applyFill="1" applyBorder="1" applyAlignment="1" applyProtection="1">
      <alignment horizontal="center" vertical="center" textRotation="90"/>
      <protection locked="0"/>
    </xf>
    <xf numFmtId="0" fontId="24" fillId="12" borderId="54" xfId="0" applyFont="1" applyFill="1" applyBorder="1" applyAlignment="1" applyProtection="1">
      <alignment horizontal="center" vertical="center"/>
      <protection hidden="1"/>
    </xf>
    <xf numFmtId="0" fontId="24" fillId="12" borderId="63" xfId="0" applyFont="1" applyFill="1" applyBorder="1" applyAlignment="1" applyProtection="1">
      <alignment horizontal="center" vertical="center"/>
      <protection hidden="1"/>
    </xf>
    <xf numFmtId="165" fontId="17" fillId="0" borderId="65" xfId="0" applyNumberFormat="1" applyFont="1" applyBorder="1" applyAlignment="1" applyProtection="1">
      <alignment horizontal="center" vertical="center"/>
      <protection hidden="1"/>
    </xf>
    <xf numFmtId="0" fontId="1" fillId="3" borderId="0" xfId="0" applyFont="1" applyFill="1" applyAlignment="1" applyProtection="1">
      <alignment horizontal="center"/>
      <protection hidden="1"/>
    </xf>
    <xf numFmtId="167" fontId="21" fillId="10" borderId="49" xfId="0" applyNumberFormat="1" applyFont="1" applyFill="1" applyBorder="1" applyAlignment="1" applyProtection="1">
      <alignment horizontal="center" vertical="center"/>
      <protection locked="0"/>
    </xf>
    <xf numFmtId="167" fontId="21" fillId="10" borderId="55" xfId="0" applyNumberFormat="1" applyFont="1" applyFill="1" applyBorder="1" applyAlignment="1" applyProtection="1">
      <alignment horizontal="center" vertical="center"/>
      <protection locked="0"/>
    </xf>
    <xf numFmtId="0" fontId="15" fillId="0" borderId="29" xfId="0" applyFont="1" applyBorder="1" applyAlignment="1" applyProtection="1">
      <alignment horizontal="center" vertical="center"/>
      <protection hidden="1"/>
    </xf>
    <xf numFmtId="0" fontId="15" fillId="0" borderId="31"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13" fillId="9" borderId="27" xfId="0" applyFont="1" applyFill="1" applyBorder="1" applyAlignment="1" applyProtection="1">
      <alignment horizontal="center" vertical="center" wrapText="1"/>
      <protection hidden="1"/>
    </xf>
    <xf numFmtId="0" fontId="13" fillId="9" borderId="46" xfId="0" applyFont="1" applyFill="1" applyBorder="1" applyAlignment="1" applyProtection="1">
      <alignment horizontal="center" vertical="center" wrapText="1"/>
      <protection hidden="1"/>
    </xf>
    <xf numFmtId="14" fontId="23" fillId="10" borderId="8" xfId="0" applyNumberFormat="1" applyFont="1" applyFill="1" applyBorder="1" applyAlignment="1" applyProtection="1">
      <alignment horizontal="center" vertical="center" textRotation="90"/>
      <protection locked="0"/>
    </xf>
    <xf numFmtId="14" fontId="23" fillId="10" borderId="12" xfId="0" applyNumberFormat="1" applyFont="1" applyFill="1" applyBorder="1" applyAlignment="1" applyProtection="1">
      <alignment horizontal="center" vertical="center" textRotation="90"/>
      <protection locked="0"/>
    </xf>
    <xf numFmtId="0" fontId="21" fillId="2" borderId="7" xfId="0" applyFont="1" applyFill="1" applyBorder="1" applyAlignment="1" applyProtection="1">
      <alignment horizontal="center" vertical="center"/>
      <protection hidden="1"/>
    </xf>
    <xf numFmtId="0" fontId="21" fillId="2" borderId="0" xfId="0" applyFont="1" applyFill="1" applyBorder="1" applyAlignment="1" applyProtection="1">
      <alignment horizontal="center" vertical="center"/>
      <protection hidden="1"/>
    </xf>
    <xf numFmtId="166" fontId="21" fillId="2" borderId="52" xfId="0" applyNumberFormat="1" applyFont="1" applyFill="1" applyBorder="1" applyAlignment="1" applyProtection="1">
      <alignment horizontal="center" vertical="center"/>
      <protection locked="0"/>
    </xf>
    <xf numFmtId="166" fontId="21" fillId="2" borderId="59" xfId="0" applyNumberFormat="1" applyFont="1" applyFill="1" applyBorder="1" applyAlignment="1" applyProtection="1">
      <alignment horizontal="center" vertical="center"/>
      <protection locked="0"/>
    </xf>
    <xf numFmtId="167" fontId="21" fillId="10" borderId="62" xfId="0" applyNumberFormat="1" applyFont="1" applyFill="1" applyBorder="1" applyAlignment="1" applyProtection="1">
      <alignment horizontal="center" vertical="center"/>
      <protection locked="0"/>
    </xf>
    <xf numFmtId="167" fontId="21" fillId="2" borderId="49" xfId="0" applyNumberFormat="1" applyFont="1" applyFill="1" applyBorder="1" applyAlignment="1" applyProtection="1">
      <alignment horizontal="center" vertical="center"/>
      <protection locked="0"/>
    </xf>
    <xf numFmtId="167" fontId="21" fillId="2" borderId="62" xfId="0" applyNumberFormat="1" applyFont="1" applyFill="1" applyBorder="1" applyAlignment="1" applyProtection="1">
      <alignment horizontal="center" vertical="center"/>
      <protection locked="0"/>
    </xf>
    <xf numFmtId="14" fontId="22" fillId="10" borderId="22" xfId="0" applyNumberFormat="1" applyFont="1" applyFill="1" applyBorder="1" applyAlignment="1" applyProtection="1">
      <alignment horizontal="center" vertical="center" wrapText="1"/>
      <protection hidden="1"/>
    </xf>
    <xf numFmtId="14" fontId="22" fillId="10" borderId="38" xfId="0" applyNumberFormat="1" applyFont="1" applyFill="1" applyBorder="1" applyAlignment="1" applyProtection="1">
      <alignment horizontal="center" vertical="center" wrapText="1"/>
      <protection hidden="1"/>
    </xf>
    <xf numFmtId="0" fontId="21" fillId="2" borderId="51" xfId="0" applyFont="1" applyFill="1" applyBorder="1" applyAlignment="1" applyProtection="1">
      <alignment horizontal="center" vertical="center" wrapText="1"/>
      <protection locked="0"/>
    </xf>
    <xf numFmtId="0" fontId="21" fillId="2" borderId="57" xfId="0" applyFont="1" applyFill="1" applyBorder="1" applyAlignment="1" applyProtection="1">
      <alignment horizontal="center" vertical="center" wrapText="1"/>
      <protection locked="0"/>
    </xf>
    <xf numFmtId="165" fontId="21" fillId="10" borderId="53" xfId="0" applyNumberFormat="1" applyFont="1" applyFill="1" applyBorder="1" applyAlignment="1" applyProtection="1">
      <alignment horizontal="center" vertical="center"/>
      <protection hidden="1"/>
    </xf>
    <xf numFmtId="165" fontId="21" fillId="10" borderId="63" xfId="0" applyNumberFormat="1" applyFont="1" applyFill="1" applyBorder="1" applyAlignment="1" applyProtection="1">
      <alignment horizontal="center" vertical="center"/>
      <protection hidden="1"/>
    </xf>
    <xf numFmtId="165" fontId="21" fillId="2" borderId="50" xfId="0" applyNumberFormat="1" applyFont="1" applyFill="1" applyBorder="1" applyAlignment="1" applyProtection="1">
      <alignment horizontal="center" vertical="center"/>
      <protection locked="0"/>
    </xf>
    <xf numFmtId="165" fontId="21" fillId="2" borderId="56" xfId="0" applyNumberFormat="1" applyFont="1" applyFill="1" applyBorder="1" applyAlignment="1" applyProtection="1">
      <alignment horizontal="center" vertical="center"/>
      <protection locked="0"/>
    </xf>
    <xf numFmtId="14" fontId="22" fillId="2" borderId="17" xfId="0" applyNumberFormat="1" applyFont="1" applyFill="1" applyBorder="1" applyAlignment="1" applyProtection="1">
      <alignment horizontal="center" vertical="center"/>
      <protection locked="0"/>
    </xf>
    <xf numFmtId="14" fontId="22" fillId="2" borderId="29" xfId="0" applyNumberFormat="1" applyFont="1" applyFill="1" applyBorder="1" applyAlignment="1" applyProtection="1">
      <alignment horizontal="center" vertical="center"/>
      <protection locked="0"/>
    </xf>
    <xf numFmtId="14" fontId="21" fillId="10" borderId="50" xfId="0" applyNumberFormat="1" applyFont="1" applyFill="1" applyBorder="1" applyAlignment="1" applyProtection="1">
      <alignment horizontal="center" vertical="center" wrapText="1"/>
      <protection locked="0" hidden="1"/>
    </xf>
    <xf numFmtId="14" fontId="21" fillId="10" borderId="56" xfId="0" applyNumberFormat="1" applyFont="1" applyFill="1" applyBorder="1" applyAlignment="1" applyProtection="1">
      <alignment horizontal="center" vertical="center" wrapText="1"/>
      <protection locked="0" hidden="1"/>
    </xf>
    <xf numFmtId="0" fontId="21" fillId="2" borderId="50" xfId="0" applyFont="1" applyFill="1" applyBorder="1" applyAlignment="1" applyProtection="1">
      <alignment horizontal="center" vertical="center" wrapText="1"/>
      <protection locked="0"/>
    </xf>
    <xf numFmtId="0" fontId="21" fillId="2" borderId="56" xfId="0" applyFont="1" applyFill="1" applyBorder="1" applyAlignment="1" applyProtection="1">
      <alignment horizontal="center" vertical="center" wrapText="1"/>
      <protection locked="0"/>
    </xf>
    <xf numFmtId="14" fontId="22" fillId="10" borderId="8" xfId="0" applyNumberFormat="1" applyFont="1" applyFill="1" applyBorder="1" applyAlignment="1" applyProtection="1">
      <alignment horizontal="center" vertical="center" wrapText="1"/>
      <protection hidden="1"/>
    </xf>
    <xf numFmtId="14" fontId="22" fillId="10" borderId="25" xfId="0" applyNumberFormat="1" applyFont="1" applyFill="1" applyBorder="1" applyAlignment="1" applyProtection="1">
      <alignment horizontal="center" vertical="center" wrapText="1"/>
      <protection hidden="1"/>
    </xf>
    <xf numFmtId="14" fontId="19" fillId="0" borderId="54" xfId="0" applyNumberFormat="1" applyFont="1" applyBorder="1" applyAlignment="1" applyProtection="1">
      <alignment horizontal="center" vertical="center"/>
      <protection hidden="1"/>
    </xf>
    <xf numFmtId="14" fontId="19" fillId="0" borderId="65" xfId="0" applyNumberFormat="1" applyFont="1" applyBorder="1" applyAlignment="1" applyProtection="1">
      <alignment horizontal="center" vertical="center"/>
      <protection hidden="1"/>
    </xf>
    <xf numFmtId="0" fontId="10" fillId="8" borderId="9" xfId="1" applyFont="1" applyFill="1" applyBorder="1" applyAlignment="1" applyProtection="1">
      <alignment horizontal="center" vertical="center" wrapText="1"/>
      <protection locked="0" hidden="1"/>
    </xf>
    <xf numFmtId="0" fontId="10" fillId="8" borderId="2" xfId="1" applyFont="1" applyFill="1" applyBorder="1" applyAlignment="1" applyProtection="1">
      <alignment horizontal="center" vertical="center" wrapText="1"/>
      <protection locked="0" hidden="1"/>
    </xf>
    <xf numFmtId="164" fontId="21" fillId="2" borderId="16" xfId="0" applyNumberFormat="1" applyFont="1" applyFill="1" applyBorder="1" applyAlignment="1" applyProtection="1">
      <alignment horizontal="center" vertical="center"/>
      <protection locked="0"/>
    </xf>
    <xf numFmtId="164" fontId="21" fillId="2" borderId="58" xfId="0" applyNumberFormat="1" applyFont="1" applyFill="1" applyBorder="1" applyAlignment="1" applyProtection="1">
      <alignment horizontal="center" vertical="center"/>
      <protection locked="0"/>
    </xf>
    <xf numFmtId="0" fontId="21" fillId="10" borderId="50" xfId="0" applyFont="1" applyFill="1" applyBorder="1" applyAlignment="1" applyProtection="1">
      <alignment horizontal="center" vertical="center"/>
      <protection locked="0"/>
    </xf>
    <xf numFmtId="0" fontId="21" fillId="10" borderId="56" xfId="0" applyFont="1" applyFill="1" applyBorder="1" applyAlignment="1" applyProtection="1">
      <alignment horizontal="center" vertical="center"/>
      <protection locked="0"/>
    </xf>
    <xf numFmtId="1" fontId="21" fillId="10" borderId="49" xfId="0" applyNumberFormat="1" applyFont="1" applyFill="1" applyBorder="1" applyAlignment="1" applyProtection="1">
      <alignment horizontal="center" vertical="center"/>
      <protection hidden="1"/>
    </xf>
    <xf numFmtId="1" fontId="21" fillId="10" borderId="62" xfId="0" applyNumberFormat="1" applyFont="1" applyFill="1" applyBorder="1" applyAlignment="1" applyProtection="1">
      <alignment horizontal="center" vertical="center"/>
      <protection hidden="1"/>
    </xf>
    <xf numFmtId="0" fontId="21" fillId="10" borderId="50" xfId="0" applyFont="1" applyFill="1" applyBorder="1" applyAlignment="1" applyProtection="1">
      <alignment horizontal="center" vertical="center" wrapText="1"/>
      <protection locked="0"/>
    </xf>
    <xf numFmtId="0" fontId="21" fillId="10" borderId="56" xfId="0" applyFont="1" applyFill="1" applyBorder="1" applyAlignment="1" applyProtection="1">
      <alignment horizontal="center" vertical="center" wrapText="1"/>
      <protection locked="0"/>
    </xf>
    <xf numFmtId="0" fontId="21" fillId="10" borderId="49" xfId="0" applyFont="1" applyFill="1" applyBorder="1" applyAlignment="1" applyProtection="1">
      <alignment horizontal="center" vertical="center"/>
      <protection locked="0"/>
    </xf>
    <xf numFmtId="0" fontId="21" fillId="10" borderId="55" xfId="0" applyFont="1" applyFill="1" applyBorder="1" applyAlignment="1" applyProtection="1">
      <alignment horizontal="center" vertical="center"/>
      <protection locked="0"/>
    </xf>
    <xf numFmtId="0" fontId="9" fillId="7" borderId="9" xfId="0" applyFont="1" applyFill="1" applyBorder="1" applyAlignment="1" applyProtection="1">
      <alignment horizontal="center" vertical="center" wrapText="1"/>
      <protection hidden="1"/>
    </xf>
    <xf numFmtId="0" fontId="13" fillId="9" borderId="28" xfId="0" applyFont="1" applyFill="1" applyBorder="1" applyAlignment="1" applyProtection="1">
      <alignment horizontal="center" vertical="center" wrapText="1"/>
      <protection hidden="1"/>
    </xf>
    <xf numFmtId="0" fontId="13" fillId="9" borderId="47" xfId="0" applyFont="1" applyFill="1" applyBorder="1" applyAlignment="1" applyProtection="1">
      <alignment horizontal="center" vertical="center" wrapText="1"/>
      <protection hidden="1"/>
    </xf>
    <xf numFmtId="0" fontId="7" fillId="6" borderId="7" xfId="0" applyFont="1" applyFill="1" applyBorder="1" applyAlignment="1" applyProtection="1">
      <alignment horizontal="right" vertical="center" textRotation="90" wrapText="1"/>
      <protection hidden="1"/>
    </xf>
    <xf numFmtId="0" fontId="7" fillId="6" borderId="11" xfId="0" applyFont="1" applyFill="1" applyBorder="1" applyAlignment="1" applyProtection="1">
      <alignment horizontal="right" vertical="center" textRotation="90" wrapText="1"/>
      <protection hidden="1"/>
    </xf>
    <xf numFmtId="1" fontId="21" fillId="10" borderId="55" xfId="0" applyNumberFormat="1" applyFont="1" applyFill="1" applyBorder="1" applyAlignment="1" applyProtection="1">
      <alignment horizontal="center" vertical="center"/>
      <protection hidden="1"/>
    </xf>
    <xf numFmtId="0" fontId="8" fillId="6" borderId="6" xfId="0" applyFont="1" applyFill="1" applyBorder="1" applyAlignment="1" applyProtection="1">
      <alignment horizontal="center" vertical="center" wrapText="1"/>
      <protection hidden="1"/>
    </xf>
    <xf numFmtId="0" fontId="8" fillId="6" borderId="10" xfId="0" applyFont="1" applyFill="1" applyBorder="1" applyAlignment="1" applyProtection="1">
      <alignment horizontal="center" vertical="center" wrapText="1"/>
      <protection hidden="1"/>
    </xf>
    <xf numFmtId="0" fontId="21" fillId="2" borderId="50" xfId="0" applyFont="1" applyFill="1" applyBorder="1" applyAlignment="1" applyProtection="1">
      <alignment horizontal="center" vertical="center"/>
      <protection locked="0"/>
    </xf>
    <xf numFmtId="0" fontId="21" fillId="2" borderId="56" xfId="0" applyFont="1" applyFill="1" applyBorder="1" applyAlignment="1" applyProtection="1">
      <alignment horizontal="center" vertical="center"/>
      <protection locked="0"/>
    </xf>
    <xf numFmtId="0" fontId="13" fillId="9" borderId="23" xfId="0" applyFont="1" applyFill="1" applyBorder="1" applyAlignment="1" applyProtection="1">
      <alignment horizontal="center" vertical="center" wrapText="1"/>
      <protection hidden="1"/>
    </xf>
    <xf numFmtId="0" fontId="13" fillId="9" borderId="21" xfId="0" applyFont="1" applyFill="1" applyBorder="1" applyAlignment="1" applyProtection="1">
      <alignment horizontal="center" vertical="center" wrapText="1"/>
      <protection hidden="1"/>
    </xf>
    <xf numFmtId="0" fontId="13" fillId="9" borderId="22" xfId="0" applyFont="1" applyFill="1" applyBorder="1" applyAlignment="1" applyProtection="1">
      <alignment horizontal="center" vertical="center" wrapText="1"/>
      <protection hidden="1"/>
    </xf>
    <xf numFmtId="0" fontId="21" fillId="10" borderId="7" xfId="0" applyFont="1" applyFill="1" applyBorder="1" applyAlignment="1" applyProtection="1">
      <alignment horizontal="center" vertical="center"/>
      <protection hidden="1"/>
    </xf>
    <xf numFmtId="0" fontId="21" fillId="10" borderId="0" xfId="0" applyFont="1" applyFill="1" applyBorder="1" applyAlignment="1" applyProtection="1">
      <alignment horizontal="center" vertical="center"/>
      <protection hidden="1"/>
    </xf>
    <xf numFmtId="164" fontId="21" fillId="10" borderId="16" xfId="0" applyNumberFormat="1" applyFont="1" applyFill="1" applyBorder="1" applyAlignment="1" applyProtection="1">
      <alignment horizontal="center" vertical="center"/>
      <protection locked="0"/>
    </xf>
    <xf numFmtId="164" fontId="21" fillId="10" borderId="36" xfId="0" applyNumberFormat="1" applyFont="1" applyFill="1" applyBorder="1" applyAlignment="1" applyProtection="1">
      <alignment horizontal="center" vertical="center"/>
      <protection locked="0"/>
    </xf>
    <xf numFmtId="0" fontId="21" fillId="10" borderId="62" xfId="0" applyFont="1" applyFill="1" applyBorder="1" applyAlignment="1" applyProtection="1">
      <alignment horizontal="center" vertical="center"/>
      <protection locked="0"/>
    </xf>
    <xf numFmtId="164" fontId="21" fillId="10" borderId="50" xfId="0" applyNumberFormat="1" applyFont="1" applyFill="1" applyBorder="1" applyAlignment="1" applyProtection="1">
      <alignment horizontal="center" vertical="center"/>
      <protection locked="0"/>
    </xf>
    <xf numFmtId="164" fontId="21" fillId="10" borderId="56" xfId="0" applyNumberFormat="1" applyFont="1" applyFill="1" applyBorder="1" applyAlignment="1" applyProtection="1">
      <alignment horizontal="center" vertical="center"/>
      <protection locked="0"/>
    </xf>
    <xf numFmtId="0" fontId="21" fillId="2" borderId="49" xfId="0" applyFont="1" applyFill="1" applyBorder="1" applyAlignment="1" applyProtection="1">
      <alignment horizontal="center" vertical="center"/>
      <protection locked="0"/>
    </xf>
    <xf numFmtId="0" fontId="21" fillId="2" borderId="55" xfId="0" applyFont="1" applyFill="1" applyBorder="1" applyAlignment="1" applyProtection="1">
      <alignment horizontal="center" vertical="center"/>
      <protection locked="0"/>
    </xf>
    <xf numFmtId="14" fontId="22" fillId="10" borderId="17" xfId="0" applyNumberFormat="1" applyFont="1" applyFill="1" applyBorder="1" applyAlignment="1" applyProtection="1">
      <alignment horizontal="center" vertical="center"/>
      <protection locked="0"/>
    </xf>
    <xf numFmtId="14" fontId="22" fillId="10" borderId="37" xfId="0" applyNumberFormat="1" applyFont="1" applyFill="1" applyBorder="1" applyAlignment="1" applyProtection="1">
      <alignment horizontal="center" vertical="center"/>
      <protection locked="0"/>
    </xf>
    <xf numFmtId="14" fontId="23" fillId="10" borderId="6" xfId="0" applyNumberFormat="1" applyFont="1" applyFill="1" applyBorder="1" applyAlignment="1" applyProtection="1">
      <alignment horizontal="center" vertical="center" textRotation="90"/>
      <protection locked="0" hidden="1"/>
    </xf>
    <xf numFmtId="14" fontId="23" fillId="10" borderId="24" xfId="0" applyNumberFormat="1" applyFont="1" applyFill="1" applyBorder="1" applyAlignment="1" applyProtection="1">
      <alignment horizontal="center" vertical="center" textRotation="90"/>
      <protection locked="0" hidden="1"/>
    </xf>
    <xf numFmtId="14" fontId="23" fillId="10" borderId="10" xfId="0" applyNumberFormat="1" applyFont="1" applyFill="1" applyBorder="1" applyAlignment="1" applyProtection="1">
      <alignment horizontal="center" vertical="center" textRotation="90"/>
      <protection locked="0" hidden="1"/>
    </xf>
    <xf numFmtId="9" fontId="21" fillId="10" borderId="52" xfId="0" applyNumberFormat="1" applyFont="1" applyFill="1" applyBorder="1" applyAlignment="1" applyProtection="1">
      <alignment horizontal="center" vertical="center"/>
      <protection locked="0"/>
    </xf>
    <xf numFmtId="9" fontId="21" fillId="10" borderId="59" xfId="0" applyNumberFormat="1" applyFont="1" applyFill="1" applyBorder="1" applyAlignment="1" applyProtection="1">
      <alignment horizontal="center" vertical="center"/>
      <protection locked="0"/>
    </xf>
    <xf numFmtId="166" fontId="21" fillId="10" borderId="59" xfId="0" applyNumberFormat="1" applyFont="1" applyFill="1" applyBorder="1" applyAlignment="1" applyProtection="1">
      <alignment horizontal="center" vertical="center"/>
      <protection locked="0"/>
    </xf>
    <xf numFmtId="0" fontId="14" fillId="9" borderId="24" xfId="0" applyFont="1" applyFill="1" applyBorder="1" applyAlignment="1" applyProtection="1">
      <alignment horizontal="center" vertical="center" wrapText="1"/>
      <protection hidden="1"/>
    </xf>
    <xf numFmtId="0" fontId="14" fillId="9" borderId="0" xfId="0" applyFont="1" applyFill="1" applyBorder="1" applyAlignment="1" applyProtection="1">
      <alignment horizontal="center" vertical="center" wrapText="1"/>
      <protection hidden="1"/>
    </xf>
    <xf numFmtId="0" fontId="14" fillId="9" borderId="25" xfId="0" applyFont="1" applyFill="1" applyBorder="1" applyAlignment="1" applyProtection="1">
      <alignment horizontal="center" vertical="center" wrapText="1"/>
      <protection hidden="1"/>
    </xf>
    <xf numFmtId="0" fontId="13" fillId="9" borderId="26" xfId="0" applyFont="1" applyFill="1" applyBorder="1" applyAlignment="1" applyProtection="1">
      <alignment horizontal="center" vertical="center" wrapText="1"/>
      <protection hidden="1"/>
    </xf>
    <xf numFmtId="0" fontId="13" fillId="9" borderId="34" xfId="0" applyFont="1" applyFill="1" applyBorder="1" applyAlignment="1" applyProtection="1">
      <alignment horizontal="center" vertical="center" wrapText="1"/>
      <protection hidden="1"/>
    </xf>
    <xf numFmtId="9" fontId="21" fillId="2" borderId="52" xfId="0" applyNumberFormat="1" applyFont="1" applyFill="1" applyBorder="1" applyAlignment="1" applyProtection="1">
      <alignment horizontal="center" vertical="center"/>
      <protection locked="0"/>
    </xf>
    <xf numFmtId="9" fontId="21" fillId="2" borderId="59" xfId="0" applyNumberFormat="1" applyFont="1" applyFill="1" applyBorder="1" applyAlignment="1" applyProtection="1">
      <alignment horizontal="center" vertical="center"/>
      <protection locked="0"/>
    </xf>
    <xf numFmtId="14" fontId="21" fillId="2" borderId="50" xfId="0" applyNumberFormat="1" applyFont="1" applyFill="1" applyBorder="1" applyAlignment="1" applyProtection="1">
      <alignment horizontal="center" vertical="center" wrapText="1"/>
      <protection locked="0" hidden="1"/>
    </xf>
    <xf numFmtId="14" fontId="21" fillId="2" borderId="56" xfId="0" applyNumberFormat="1" applyFont="1" applyFill="1" applyBorder="1" applyAlignment="1" applyProtection="1">
      <alignment horizontal="center" vertical="center" wrapText="1"/>
      <protection locked="0" hidden="1"/>
    </xf>
    <xf numFmtId="14" fontId="22" fillId="10" borderId="60" xfId="0" applyNumberFormat="1" applyFont="1" applyFill="1" applyBorder="1" applyAlignment="1" applyProtection="1">
      <alignment horizontal="center" vertical="center" wrapText="1"/>
      <protection hidden="1"/>
    </xf>
    <xf numFmtId="0" fontId="21" fillId="10" borderId="51" xfId="0" applyFont="1" applyFill="1" applyBorder="1" applyAlignment="1" applyProtection="1">
      <alignment horizontal="center" vertical="center" wrapText="1"/>
      <protection locked="0"/>
    </xf>
    <xf numFmtId="0" fontId="21" fillId="10" borderId="57" xfId="0" applyFont="1" applyFill="1" applyBorder="1" applyAlignment="1" applyProtection="1">
      <alignment horizontal="center" vertical="center" wrapText="1"/>
      <protection locked="0"/>
    </xf>
    <xf numFmtId="14" fontId="22" fillId="10" borderId="29" xfId="0" applyNumberFormat="1" applyFont="1" applyFill="1" applyBorder="1" applyAlignment="1" applyProtection="1">
      <alignment horizontal="center" vertical="center"/>
      <protection locked="0"/>
    </xf>
    <xf numFmtId="9" fontId="21" fillId="10" borderId="68" xfId="0" applyNumberFormat="1" applyFont="1" applyFill="1" applyBorder="1" applyAlignment="1" applyProtection="1">
      <alignment horizontal="center" vertical="center"/>
      <protection locked="0"/>
    </xf>
    <xf numFmtId="14" fontId="21" fillId="10" borderId="66" xfId="0" applyNumberFormat="1" applyFont="1" applyFill="1" applyBorder="1" applyAlignment="1" applyProtection="1">
      <alignment horizontal="center" vertical="center" wrapText="1"/>
      <protection locked="0" hidden="1"/>
    </xf>
    <xf numFmtId="0" fontId="15" fillId="0" borderId="32" xfId="0" applyFont="1" applyBorder="1" applyAlignment="1" applyProtection="1">
      <alignment horizontal="center" vertical="center"/>
      <protection hidden="1"/>
    </xf>
    <xf numFmtId="0" fontId="15" fillId="0" borderId="33" xfId="0" applyFont="1" applyBorder="1" applyAlignment="1" applyProtection="1">
      <alignment horizontal="center" vertical="center"/>
      <protection hidden="1"/>
    </xf>
    <xf numFmtId="14" fontId="22" fillId="2" borderId="22" xfId="0" applyNumberFormat="1" applyFont="1" applyFill="1" applyBorder="1" applyAlignment="1" applyProtection="1">
      <alignment horizontal="center" vertical="center" wrapText="1"/>
      <protection hidden="1"/>
    </xf>
    <xf numFmtId="14" fontId="22" fillId="2" borderId="60" xfId="0" applyNumberFormat="1" applyFont="1" applyFill="1" applyBorder="1" applyAlignment="1" applyProtection="1">
      <alignment horizontal="center" vertical="center" wrapText="1"/>
      <protection hidden="1"/>
    </xf>
    <xf numFmtId="0" fontId="13" fillId="9" borderId="15" xfId="0" applyFont="1" applyFill="1" applyBorder="1" applyAlignment="1" applyProtection="1">
      <alignment horizontal="center" vertical="center" wrapText="1"/>
      <protection hidden="1"/>
    </xf>
    <xf numFmtId="0" fontId="13" fillId="9" borderId="35" xfId="0" applyFont="1" applyFill="1" applyBorder="1" applyAlignment="1" applyProtection="1">
      <alignment horizontal="center" vertical="center" wrapText="1"/>
      <protection hidden="1"/>
    </xf>
    <xf numFmtId="164" fontId="21" fillId="10" borderId="58" xfId="0" applyNumberFormat="1" applyFont="1" applyFill="1" applyBorder="1" applyAlignment="1" applyProtection="1">
      <alignment horizontal="center" vertical="center"/>
      <protection locked="0"/>
    </xf>
    <xf numFmtId="0" fontId="21" fillId="2" borderId="62" xfId="0" applyFont="1" applyFill="1" applyBorder="1" applyAlignment="1" applyProtection="1">
      <alignment horizontal="center" vertical="center"/>
      <protection locked="0"/>
    </xf>
    <xf numFmtId="0" fontId="21" fillId="10" borderId="66" xfId="0" applyFont="1" applyFill="1" applyBorder="1" applyAlignment="1" applyProtection="1">
      <alignment horizontal="center" vertical="center"/>
      <protection locked="0"/>
    </xf>
    <xf numFmtId="14" fontId="22" fillId="10" borderId="51" xfId="0" applyNumberFormat="1" applyFont="1" applyFill="1" applyBorder="1" applyAlignment="1" applyProtection="1">
      <alignment horizontal="center" vertical="center"/>
      <protection locked="0"/>
    </xf>
    <xf numFmtId="14" fontId="22" fillId="10" borderId="57" xfId="0" applyNumberFormat="1" applyFont="1" applyFill="1" applyBorder="1" applyAlignment="1" applyProtection="1">
      <alignment horizontal="center" vertical="center"/>
      <protection locked="0"/>
    </xf>
    <xf numFmtId="0" fontId="21" fillId="10" borderId="67" xfId="0" applyFont="1" applyFill="1" applyBorder="1" applyAlignment="1" applyProtection="1">
      <alignment horizontal="center" vertical="center" wrapText="1"/>
      <protection locked="0"/>
    </xf>
    <xf numFmtId="14" fontId="23" fillId="10" borderId="25" xfId="0" applyNumberFormat="1" applyFont="1" applyFill="1" applyBorder="1" applyAlignment="1" applyProtection="1">
      <alignment horizontal="center" vertical="center" textRotation="90"/>
      <protection locked="0"/>
    </xf>
    <xf numFmtId="0" fontId="21" fillId="10" borderId="66" xfId="0" applyFont="1" applyFill="1" applyBorder="1" applyAlignment="1" applyProtection="1">
      <alignment horizontal="center" vertical="center" wrapText="1"/>
      <protection locked="0"/>
    </xf>
    <xf numFmtId="0" fontId="13" fillId="9" borderId="20" xfId="0" applyFont="1" applyFill="1" applyBorder="1" applyAlignment="1" applyProtection="1">
      <alignment horizontal="center" vertical="center" wrapText="1"/>
      <protection hidden="1"/>
    </xf>
    <xf numFmtId="0" fontId="13" fillId="9" borderId="39"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13" fillId="9" borderId="18" xfId="0" applyFont="1" applyFill="1" applyBorder="1" applyAlignment="1" applyProtection="1">
      <alignment horizontal="center" vertical="center" wrapText="1"/>
      <protection hidden="1"/>
    </xf>
    <xf numFmtId="0" fontId="13" fillId="9" borderId="19" xfId="0" applyFont="1" applyFill="1" applyBorder="1" applyAlignment="1" applyProtection="1">
      <alignment horizontal="center" vertical="center" wrapText="1"/>
      <protection hidden="1"/>
    </xf>
    <xf numFmtId="0" fontId="13" fillId="9" borderId="16" xfId="0" applyFont="1" applyFill="1" applyBorder="1" applyAlignment="1" applyProtection="1">
      <alignment horizontal="center" vertical="center" wrapText="1"/>
      <protection hidden="1"/>
    </xf>
    <xf numFmtId="0" fontId="13" fillId="9" borderId="36" xfId="0" applyFont="1" applyFill="1" applyBorder="1" applyAlignment="1" applyProtection="1">
      <alignment horizontal="center" vertical="center" wrapText="1"/>
      <protection hidden="1"/>
    </xf>
    <xf numFmtId="14" fontId="3" fillId="5" borderId="3" xfId="0" applyNumberFormat="1" applyFont="1" applyFill="1" applyBorder="1" applyAlignment="1" applyProtection="1">
      <alignment horizontal="center" vertical="center"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0" fontId="13" fillId="9" borderId="17" xfId="0" applyFont="1" applyFill="1" applyBorder="1" applyAlignment="1" applyProtection="1">
      <alignment horizontal="center" vertical="center" wrapText="1"/>
      <protection hidden="1"/>
    </xf>
    <xf numFmtId="0" fontId="13" fillId="9" borderId="37" xfId="0" applyFont="1" applyFill="1" applyBorder="1" applyAlignment="1" applyProtection="1">
      <alignment horizontal="center" vertical="center" wrapText="1"/>
      <protection hidden="1"/>
    </xf>
    <xf numFmtId="0" fontId="21" fillId="10" borderId="11" xfId="0" applyFont="1" applyFill="1" applyBorder="1" applyAlignment="1" applyProtection="1">
      <alignment horizontal="center" vertical="center"/>
      <protection hidden="1"/>
    </xf>
    <xf numFmtId="0" fontId="21" fillId="10" borderId="52" xfId="0" applyFont="1" applyFill="1" applyBorder="1" applyAlignment="1" applyProtection="1">
      <alignment horizontal="center" vertical="center" wrapText="1"/>
      <protection locked="0"/>
    </xf>
    <xf numFmtId="0" fontId="21" fillId="10" borderId="59" xfId="0" applyFont="1" applyFill="1" applyBorder="1" applyAlignment="1" applyProtection="1">
      <alignment horizontal="center" vertical="center" wrapText="1"/>
      <protection locked="0"/>
    </xf>
    <xf numFmtId="165" fontId="21" fillId="10" borderId="66" xfId="0" applyNumberFormat="1" applyFont="1" applyFill="1" applyBorder="1" applyAlignment="1" applyProtection="1">
      <alignment horizontal="center" vertical="center"/>
      <protection locked="0"/>
    </xf>
    <xf numFmtId="0" fontId="12" fillId="9" borderId="6" xfId="0" applyFont="1" applyFill="1" applyBorder="1" applyAlignment="1" applyProtection="1">
      <alignment horizontal="center" vertical="center" wrapText="1"/>
      <protection hidden="1"/>
    </xf>
    <xf numFmtId="0" fontId="12" fillId="9" borderId="24" xfId="0" applyFont="1" applyFill="1" applyBorder="1" applyAlignment="1" applyProtection="1">
      <alignment horizontal="center" vertical="center" wrapText="1"/>
      <protection hidden="1"/>
    </xf>
    <xf numFmtId="14" fontId="5" fillId="5" borderId="6" xfId="0" applyNumberFormat="1" applyFont="1" applyFill="1" applyBorder="1" applyAlignment="1" applyProtection="1">
      <alignment horizontal="justify" vertical="justify" wrapText="1"/>
      <protection hidden="1"/>
    </xf>
    <xf numFmtId="14" fontId="5" fillId="5" borderId="7" xfId="0" applyNumberFormat="1" applyFont="1" applyFill="1" applyBorder="1" applyAlignment="1" applyProtection="1">
      <alignment horizontal="justify" vertical="justify" wrapText="1"/>
      <protection hidden="1"/>
    </xf>
    <xf numFmtId="14" fontId="5" fillId="5" borderId="8" xfId="0" applyNumberFormat="1" applyFont="1" applyFill="1" applyBorder="1" applyAlignment="1" applyProtection="1">
      <alignment horizontal="justify" vertical="justify" wrapText="1"/>
      <protection hidden="1"/>
    </xf>
    <xf numFmtId="14" fontId="5" fillId="5" borderId="10" xfId="0" applyNumberFormat="1" applyFont="1" applyFill="1" applyBorder="1" applyAlignment="1" applyProtection="1">
      <alignment horizontal="justify" vertical="justify" wrapText="1"/>
      <protection hidden="1"/>
    </xf>
    <xf numFmtId="14" fontId="5" fillId="5" borderId="11" xfId="0" applyNumberFormat="1" applyFont="1" applyFill="1" applyBorder="1" applyAlignment="1" applyProtection="1">
      <alignment horizontal="justify" vertical="justify" wrapText="1"/>
      <protection hidden="1"/>
    </xf>
    <xf numFmtId="14" fontId="5" fillId="5" borderId="12" xfId="0" applyNumberFormat="1" applyFont="1" applyFill="1" applyBorder="1" applyAlignment="1" applyProtection="1">
      <alignment horizontal="justify" vertical="justify" wrapText="1"/>
      <protection hidden="1"/>
    </xf>
    <xf numFmtId="165" fontId="21" fillId="10" borderId="69" xfId="0" applyNumberFormat="1" applyFont="1" applyFill="1" applyBorder="1" applyAlignment="1" applyProtection="1">
      <alignment horizontal="center" vertical="center"/>
      <protection hidden="1"/>
    </xf>
    <xf numFmtId="0" fontId="6" fillId="6" borderId="6" xfId="0" applyFont="1" applyFill="1" applyBorder="1" applyAlignment="1" applyProtection="1">
      <alignment horizontal="center" vertical="top" wrapText="1"/>
      <protection hidden="1"/>
    </xf>
    <xf numFmtId="0" fontId="6" fillId="6" borderId="7" xfId="0" applyFont="1" applyFill="1" applyBorder="1" applyAlignment="1" applyProtection="1">
      <alignment horizontal="center" vertical="top" wrapText="1"/>
      <protection hidden="1"/>
    </xf>
    <xf numFmtId="0" fontId="6" fillId="6" borderId="10" xfId="0" applyFont="1" applyFill="1" applyBorder="1" applyAlignment="1" applyProtection="1">
      <alignment horizontal="center" vertical="top" wrapText="1"/>
      <protection hidden="1"/>
    </xf>
    <xf numFmtId="0" fontId="6" fillId="6" borderId="11" xfId="0" applyFont="1" applyFill="1" applyBorder="1" applyAlignment="1" applyProtection="1">
      <alignment horizontal="center" vertical="top" wrapText="1"/>
      <protection hidden="1"/>
    </xf>
    <xf numFmtId="14" fontId="25" fillId="5" borderId="70" xfId="0" applyNumberFormat="1" applyFont="1" applyFill="1" applyBorder="1" applyAlignment="1" applyProtection="1">
      <alignment horizontal="center" vertical="center"/>
      <protection locked="0" hidden="1"/>
    </xf>
    <xf numFmtId="14" fontId="25" fillId="5" borderId="71" xfId="0" applyNumberFormat="1" applyFont="1" applyFill="1" applyBorder="1" applyAlignment="1" applyProtection="1">
      <alignment horizontal="center" vertical="center"/>
      <protection locked="0" hidden="1"/>
    </xf>
    <xf numFmtId="14" fontId="25" fillId="5" borderId="72" xfId="0" applyNumberFormat="1" applyFont="1" applyFill="1" applyBorder="1" applyAlignment="1" applyProtection="1">
      <alignment horizontal="center" vertical="center"/>
      <protection locked="0" hidden="1"/>
    </xf>
    <xf numFmtId="164" fontId="36" fillId="13" borderId="87" xfId="0" applyNumberFormat="1" applyFont="1" applyFill="1" applyBorder="1" applyAlignment="1" applyProtection="1">
      <alignment horizontal="center" vertical="center"/>
      <protection locked="0" hidden="1"/>
    </xf>
    <xf numFmtId="164" fontId="36" fillId="13" borderId="86" xfId="0" applyNumberFormat="1" applyFont="1" applyFill="1" applyBorder="1" applyAlignment="1" applyProtection="1">
      <alignment horizontal="center" vertical="center"/>
      <protection locked="0" hidden="1"/>
    </xf>
    <xf numFmtId="14" fontId="21" fillId="2" borderId="84" xfId="0" applyNumberFormat="1" applyFont="1" applyFill="1" applyBorder="1" applyAlignment="1" applyProtection="1">
      <alignment horizontal="center" vertical="center"/>
      <protection locked="0" hidden="1"/>
    </xf>
    <xf numFmtId="14" fontId="21" fillId="2" borderId="94" xfId="0" applyNumberFormat="1" applyFont="1" applyFill="1" applyBorder="1" applyAlignment="1" applyProtection="1">
      <alignment horizontal="center" vertical="center"/>
      <protection locked="0" hidden="1"/>
    </xf>
    <xf numFmtId="0" fontId="35" fillId="2" borderId="82" xfId="0" applyFont="1" applyFill="1" applyBorder="1" applyAlignment="1" applyProtection="1">
      <alignment horizontal="center" vertical="center" wrapText="1"/>
      <protection locked="0" hidden="1"/>
    </xf>
    <xf numFmtId="0" fontId="35" fillId="2" borderId="90" xfId="0" applyFont="1" applyFill="1" applyBorder="1" applyAlignment="1" applyProtection="1">
      <alignment horizontal="center" vertical="center" wrapText="1"/>
      <protection locked="0" hidden="1"/>
    </xf>
    <xf numFmtId="166" fontId="36" fillId="13" borderId="82" xfId="0" applyNumberFormat="1" applyFont="1" applyFill="1" applyBorder="1" applyAlignment="1" applyProtection="1">
      <alignment horizontal="center" vertical="center"/>
      <protection locked="0" hidden="1"/>
    </xf>
    <xf numFmtId="166" fontId="36" fillId="13" borderId="90" xfId="0" applyNumberFormat="1" applyFont="1" applyFill="1" applyBorder="1" applyAlignment="1" applyProtection="1">
      <alignment horizontal="center" vertical="center"/>
      <protection locked="0" hidden="1"/>
    </xf>
    <xf numFmtId="14" fontId="26" fillId="5" borderId="73" xfId="0" applyNumberFormat="1" applyFont="1" applyFill="1" applyBorder="1" applyAlignment="1" applyProtection="1">
      <alignment horizontal="left" vertical="center"/>
      <protection locked="0"/>
    </xf>
    <xf numFmtId="14" fontId="26" fillId="5" borderId="74" xfId="0" applyNumberFormat="1" applyFont="1" applyFill="1" applyBorder="1" applyAlignment="1" applyProtection="1">
      <alignment horizontal="left" vertical="center"/>
      <protection locked="0"/>
    </xf>
    <xf numFmtId="14" fontId="26" fillId="5" borderId="74" xfId="0" applyNumberFormat="1" applyFont="1" applyFill="1" applyBorder="1" applyAlignment="1" applyProtection="1">
      <alignment horizontal="right" vertical="center"/>
      <protection locked="0"/>
    </xf>
    <xf numFmtId="14" fontId="26" fillId="5" borderId="75" xfId="0" applyNumberFormat="1" applyFont="1" applyFill="1" applyBorder="1" applyAlignment="1" applyProtection="1">
      <alignment horizontal="right" vertical="center"/>
      <protection locked="0"/>
    </xf>
    <xf numFmtId="0" fontId="1" fillId="0" borderId="0" xfId="0" applyFont="1" applyAlignment="1" applyProtection="1">
      <alignment horizontal="center"/>
      <protection hidden="1"/>
    </xf>
    <xf numFmtId="14" fontId="21" fillId="13" borderId="82" xfId="0" applyNumberFormat="1" applyFont="1" applyFill="1" applyBorder="1" applyAlignment="1" applyProtection="1">
      <alignment horizontal="center" vertical="center" wrapText="1"/>
      <protection locked="0" hidden="1"/>
    </xf>
    <xf numFmtId="14" fontId="21" fillId="13" borderId="86" xfId="0" applyNumberFormat="1" applyFont="1" applyFill="1" applyBorder="1" applyAlignment="1" applyProtection="1">
      <alignment horizontal="center" vertical="center" wrapText="1"/>
      <protection locked="0" hidden="1"/>
    </xf>
    <xf numFmtId="14" fontId="21" fillId="13" borderId="84" xfId="0" applyNumberFormat="1" applyFont="1" applyFill="1" applyBorder="1" applyAlignment="1" applyProtection="1">
      <alignment horizontal="center" vertical="center"/>
      <protection locked="0" hidden="1"/>
    </xf>
    <xf numFmtId="14" fontId="21" fillId="13" borderId="88" xfId="0" applyNumberFormat="1" applyFont="1" applyFill="1" applyBorder="1" applyAlignment="1" applyProtection="1">
      <alignment horizontal="center" vertical="center"/>
      <protection locked="0" hidden="1"/>
    </xf>
    <xf numFmtId="0" fontId="35" fillId="2" borderId="93" xfId="0" applyFont="1" applyFill="1" applyBorder="1" applyAlignment="1" applyProtection="1">
      <alignment horizontal="center" vertical="center" wrapText="1"/>
      <protection locked="0" hidden="1"/>
    </xf>
    <xf numFmtId="0" fontId="40" fillId="0" borderId="0" xfId="0" applyFont="1" applyAlignment="1" applyProtection="1">
      <alignment horizontal="left"/>
      <protection locked="0"/>
    </xf>
    <xf numFmtId="165" fontId="36" fillId="13" borderId="82" xfId="0" applyNumberFormat="1" applyFont="1" applyFill="1" applyBorder="1" applyAlignment="1" applyProtection="1">
      <alignment horizontal="center" vertical="center"/>
      <protection locked="0" hidden="1"/>
    </xf>
    <xf numFmtId="165" fontId="36" fillId="13" borderId="86" xfId="0" applyNumberFormat="1" applyFont="1" applyFill="1" applyBorder="1" applyAlignment="1" applyProtection="1">
      <alignment horizontal="center" vertical="center"/>
      <protection locked="0" hidden="1"/>
    </xf>
    <xf numFmtId="14" fontId="38" fillId="0" borderId="0" xfId="0" applyNumberFormat="1" applyFont="1" applyAlignment="1" applyProtection="1">
      <alignment horizontal="center" wrapText="1"/>
      <protection locked="0" hidden="1"/>
    </xf>
    <xf numFmtId="0" fontId="38" fillId="0" borderId="0" xfId="0" applyFont="1" applyAlignment="1" applyProtection="1">
      <alignment horizontal="center" wrapText="1"/>
      <protection locked="0" hidden="1"/>
    </xf>
    <xf numFmtId="164" fontId="36" fillId="13" borderId="82" xfId="0" applyNumberFormat="1" applyFont="1" applyFill="1" applyBorder="1" applyAlignment="1" applyProtection="1">
      <alignment horizontal="center" vertical="center"/>
      <protection locked="0" hidden="1"/>
    </xf>
    <xf numFmtId="14" fontId="21" fillId="13" borderId="82" xfId="0" applyNumberFormat="1" applyFont="1" applyFill="1" applyBorder="1" applyAlignment="1" applyProtection="1">
      <alignment horizontal="center" vertical="center"/>
      <protection locked="0" hidden="1"/>
    </xf>
    <xf numFmtId="14" fontId="21" fillId="13" borderId="86" xfId="0" applyNumberFormat="1" applyFont="1" applyFill="1" applyBorder="1" applyAlignment="1" applyProtection="1">
      <alignment horizontal="center" vertical="center"/>
      <protection locked="0" hidden="1"/>
    </xf>
    <xf numFmtId="0" fontId="35" fillId="2" borderId="81" xfId="0" applyFont="1" applyFill="1" applyBorder="1" applyAlignment="1" applyProtection="1">
      <alignment horizontal="center" vertical="center"/>
      <protection hidden="1"/>
    </xf>
    <xf numFmtId="0" fontId="35" fillId="2" borderId="92" xfId="0" applyFont="1" applyFill="1" applyBorder="1" applyAlignment="1" applyProtection="1">
      <alignment horizontal="center" vertical="center"/>
      <protection hidden="1"/>
    </xf>
    <xf numFmtId="0" fontId="32" fillId="13" borderId="82" xfId="0" applyFont="1" applyFill="1" applyBorder="1" applyAlignment="1" applyProtection="1">
      <alignment horizontal="center" vertical="center" wrapText="1"/>
      <protection hidden="1"/>
    </xf>
    <xf numFmtId="0" fontId="35" fillId="13" borderId="95" xfId="0" applyFont="1" applyFill="1" applyBorder="1" applyAlignment="1" applyProtection="1">
      <alignment horizontal="center" vertical="center"/>
      <protection hidden="1"/>
    </xf>
    <xf numFmtId="0" fontId="35" fillId="13" borderId="85" xfId="0" applyFont="1" applyFill="1" applyBorder="1" applyAlignment="1" applyProtection="1">
      <alignment horizontal="center" vertical="center"/>
      <protection hidden="1"/>
    </xf>
    <xf numFmtId="165" fontId="36" fillId="13" borderId="90" xfId="0" applyNumberFormat="1" applyFont="1" applyFill="1" applyBorder="1" applyAlignment="1" applyProtection="1">
      <alignment horizontal="center" vertical="center"/>
      <protection locked="0" hidden="1"/>
    </xf>
    <xf numFmtId="165" fontId="36" fillId="13" borderId="87" xfId="0" applyNumberFormat="1" applyFont="1" applyFill="1" applyBorder="1" applyAlignment="1" applyProtection="1">
      <alignment horizontal="center" vertical="center"/>
      <protection locked="0" hidden="1"/>
    </xf>
    <xf numFmtId="14" fontId="21" fillId="2" borderId="82" xfId="0" applyNumberFormat="1" applyFont="1" applyFill="1" applyBorder="1" applyAlignment="1" applyProtection="1">
      <alignment horizontal="center" vertical="center"/>
      <protection locked="0" hidden="1"/>
    </xf>
    <xf numFmtId="14" fontId="21" fillId="2" borderId="90" xfId="0" applyNumberFormat="1" applyFont="1" applyFill="1" applyBorder="1" applyAlignment="1" applyProtection="1">
      <alignment horizontal="center" vertical="center"/>
      <protection locked="0" hidden="1"/>
    </xf>
    <xf numFmtId="0" fontId="36" fillId="13" borderId="87" xfId="0" applyFont="1" applyFill="1" applyBorder="1" applyAlignment="1" applyProtection="1">
      <alignment horizontal="center" vertical="center" wrapText="1"/>
      <protection locked="0" hidden="1"/>
    </xf>
    <xf numFmtId="0" fontId="36" fillId="13" borderId="86" xfId="0" applyFont="1" applyFill="1" applyBorder="1" applyAlignment="1" applyProtection="1">
      <alignment horizontal="center" vertical="center" wrapText="1"/>
      <protection locked="0" hidden="1"/>
    </xf>
    <xf numFmtId="14" fontId="21" fillId="2" borderId="82" xfId="0" applyNumberFormat="1" applyFont="1" applyFill="1" applyBorder="1" applyAlignment="1" applyProtection="1">
      <alignment horizontal="center" vertical="center" wrapText="1"/>
      <protection locked="0" hidden="1"/>
    </xf>
    <xf numFmtId="14" fontId="21" fillId="2" borderId="93" xfId="0" applyNumberFormat="1" applyFont="1" applyFill="1" applyBorder="1" applyAlignment="1" applyProtection="1">
      <alignment horizontal="center" vertical="center" wrapText="1"/>
      <protection locked="0" hidden="1"/>
    </xf>
    <xf numFmtId="0" fontId="28" fillId="5" borderId="78" xfId="0" applyFont="1" applyFill="1" applyBorder="1" applyAlignment="1" applyProtection="1">
      <alignment horizontal="justify" vertical="justify" wrapText="1"/>
      <protection locked="0"/>
    </xf>
    <xf numFmtId="0" fontId="28" fillId="5" borderId="79" xfId="0" applyFont="1" applyFill="1" applyBorder="1" applyAlignment="1" applyProtection="1">
      <alignment horizontal="justify" vertical="justify" wrapText="1"/>
      <protection locked="0"/>
    </xf>
    <xf numFmtId="0" fontId="28" fillId="5" borderId="80" xfId="0" applyFont="1" applyFill="1" applyBorder="1" applyAlignment="1" applyProtection="1">
      <alignment horizontal="justify" vertical="justify" wrapText="1"/>
      <protection locked="0"/>
    </xf>
    <xf numFmtId="0" fontId="29" fillId="13" borderId="81" xfId="0" applyFont="1" applyFill="1" applyBorder="1" applyAlignment="1" applyProtection="1">
      <alignment horizontal="center" vertical="center" wrapText="1"/>
      <protection hidden="1"/>
    </xf>
    <xf numFmtId="0" fontId="29" fillId="13" borderId="85" xfId="0" applyFont="1" applyFill="1" applyBorder="1" applyAlignment="1" applyProtection="1">
      <alignment horizontal="center" vertical="center" wrapText="1"/>
      <protection hidden="1"/>
    </xf>
    <xf numFmtId="0" fontId="35" fillId="2" borderId="86" xfId="0" applyFont="1" applyFill="1" applyBorder="1" applyAlignment="1" applyProtection="1">
      <alignment horizontal="center" vertical="center" wrapText="1"/>
      <protection locked="0" hidden="1"/>
    </xf>
    <xf numFmtId="0" fontId="31" fillId="13" borderId="83" xfId="0" applyFont="1" applyFill="1" applyBorder="1" applyAlignment="1" applyProtection="1">
      <alignment horizontal="center" vertical="center" wrapText="1"/>
      <protection hidden="1"/>
    </xf>
    <xf numFmtId="0" fontId="31" fillId="13" borderId="87" xfId="0" applyFont="1" applyFill="1" applyBorder="1" applyAlignment="1" applyProtection="1">
      <alignment horizontal="center" vertical="center" wrapText="1"/>
      <protection hidden="1"/>
    </xf>
    <xf numFmtId="0" fontId="30" fillId="13" borderId="82" xfId="0" applyFont="1" applyFill="1" applyBorder="1" applyAlignment="1" applyProtection="1">
      <alignment horizontal="center" vertical="center" wrapText="1"/>
      <protection hidden="1"/>
    </xf>
    <xf numFmtId="0" fontId="30" fillId="13" borderId="86" xfId="0" applyFont="1" applyFill="1" applyBorder="1" applyAlignment="1" applyProtection="1">
      <alignment horizontal="center" vertical="center" wrapText="1"/>
      <protection hidden="1"/>
    </xf>
    <xf numFmtId="0" fontId="31" fillId="13" borderId="82" xfId="0" applyFont="1" applyFill="1" applyBorder="1" applyAlignment="1" applyProtection="1">
      <alignment horizontal="center" vertical="center" wrapText="1"/>
      <protection hidden="1"/>
    </xf>
    <xf numFmtId="0" fontId="31" fillId="13" borderId="86" xfId="0" applyFont="1" applyFill="1" applyBorder="1" applyAlignment="1" applyProtection="1">
      <alignment horizontal="center" vertical="center" wrapText="1"/>
      <protection hidden="1"/>
    </xf>
    <xf numFmtId="165" fontId="36" fillId="2" borderId="82" xfId="0" applyNumberFormat="1" applyFont="1" applyFill="1" applyBorder="1" applyAlignment="1" applyProtection="1">
      <alignment horizontal="center" vertical="center"/>
      <protection locked="0" hidden="1"/>
    </xf>
    <xf numFmtId="165" fontId="36" fillId="2" borderId="90" xfId="0" applyNumberFormat="1" applyFont="1" applyFill="1" applyBorder="1" applyAlignment="1" applyProtection="1">
      <alignment horizontal="center" vertical="center"/>
      <protection locked="0" hidden="1"/>
    </xf>
    <xf numFmtId="165" fontId="36" fillId="2" borderId="93" xfId="0" applyNumberFormat="1" applyFont="1" applyFill="1" applyBorder="1" applyAlignment="1" applyProtection="1">
      <alignment horizontal="center" vertical="center"/>
      <protection locked="0" hidden="1"/>
    </xf>
    <xf numFmtId="166" fontId="36" fillId="13" borderId="87" xfId="0" applyNumberFormat="1" applyFont="1" applyFill="1" applyBorder="1" applyAlignment="1" applyProtection="1">
      <alignment horizontal="center" vertical="center"/>
      <protection locked="0" hidden="1"/>
    </xf>
    <xf numFmtId="166" fontId="36" fillId="13" borderId="86" xfId="0" applyNumberFormat="1" applyFont="1" applyFill="1" applyBorder="1" applyAlignment="1" applyProtection="1">
      <alignment horizontal="center" vertical="center"/>
      <protection locked="0" hidden="1"/>
    </xf>
    <xf numFmtId="0" fontId="35" fillId="13" borderId="81" xfId="0" applyFont="1" applyFill="1" applyBorder="1" applyAlignment="1" applyProtection="1">
      <alignment horizontal="center" vertical="center"/>
      <protection hidden="1"/>
    </xf>
    <xf numFmtId="0" fontId="35" fillId="13" borderId="82" xfId="0" applyFont="1" applyFill="1" applyBorder="1" applyAlignment="1" applyProtection="1">
      <alignment horizontal="center" vertical="center" wrapText="1"/>
      <protection locked="0" hidden="1"/>
    </xf>
    <xf numFmtId="0" fontId="35" fillId="13" borderId="86" xfId="0" applyFont="1" applyFill="1" applyBorder="1" applyAlignment="1" applyProtection="1">
      <alignment horizontal="center" vertical="center" wrapText="1"/>
      <protection locked="0" hidden="1"/>
    </xf>
    <xf numFmtId="166" fontId="36" fillId="2" borderId="82" xfId="0" applyNumberFormat="1" applyFont="1" applyFill="1" applyBorder="1" applyAlignment="1" applyProtection="1">
      <alignment horizontal="center" vertical="center"/>
      <protection locked="0" hidden="1"/>
    </xf>
    <xf numFmtId="166" fontId="36" fillId="2" borderId="90" xfId="0" applyNumberFormat="1" applyFont="1" applyFill="1" applyBorder="1" applyAlignment="1" applyProtection="1">
      <alignment horizontal="center" vertical="center"/>
      <protection locked="0" hidden="1"/>
    </xf>
    <xf numFmtId="166" fontId="36" fillId="2" borderId="93" xfId="0" applyNumberFormat="1" applyFont="1" applyFill="1" applyBorder="1" applyAlignment="1" applyProtection="1">
      <alignment horizontal="center" vertical="center"/>
      <protection locked="0" hidden="1"/>
    </xf>
    <xf numFmtId="0" fontId="36" fillId="13" borderId="82" xfId="0" applyFont="1" applyFill="1" applyBorder="1" applyAlignment="1" applyProtection="1">
      <alignment horizontal="center" vertical="center" wrapText="1"/>
      <protection locked="0" hidden="1"/>
    </xf>
    <xf numFmtId="14" fontId="21" fillId="2" borderId="90" xfId="0" applyNumberFormat="1" applyFont="1" applyFill="1" applyBorder="1" applyAlignment="1" applyProtection="1">
      <alignment horizontal="center" vertical="center" wrapText="1"/>
      <protection locked="0" hidden="1"/>
    </xf>
    <xf numFmtId="165" fontId="36" fillId="2" borderId="86" xfId="0" applyNumberFormat="1" applyFont="1" applyFill="1" applyBorder="1" applyAlignment="1" applyProtection="1">
      <alignment horizontal="center" vertical="center"/>
      <protection locked="0" hidden="1"/>
    </xf>
    <xf numFmtId="164" fontId="36" fillId="2" borderId="82" xfId="0" applyNumberFormat="1" applyFont="1" applyFill="1" applyBorder="1" applyAlignment="1" applyProtection="1">
      <alignment horizontal="center" vertical="center"/>
      <protection locked="0" hidden="1"/>
    </xf>
    <xf numFmtId="164" fontId="36" fillId="2" borderId="90" xfId="0" applyNumberFormat="1" applyFont="1" applyFill="1" applyBorder="1" applyAlignment="1" applyProtection="1">
      <alignment horizontal="center" vertical="center"/>
      <protection locked="0" hidden="1"/>
    </xf>
    <xf numFmtId="14" fontId="21" fillId="13" borderId="90" xfId="0" applyNumberFormat="1" applyFont="1" applyFill="1" applyBorder="1" applyAlignment="1" applyProtection="1">
      <alignment horizontal="center" vertical="center" wrapText="1"/>
      <protection locked="0" hidden="1"/>
    </xf>
    <xf numFmtId="0" fontId="35" fillId="13" borderId="87" xfId="0" applyFont="1" applyFill="1" applyBorder="1" applyAlignment="1" applyProtection="1">
      <alignment horizontal="center" vertical="center" wrapText="1"/>
      <protection locked="0" hidden="1"/>
    </xf>
    <xf numFmtId="164" fontId="36" fillId="2" borderId="86" xfId="0" applyNumberFormat="1" applyFont="1" applyFill="1" applyBorder="1" applyAlignment="1" applyProtection="1">
      <alignment horizontal="center" vertical="center"/>
      <protection locked="0" hidden="1"/>
    </xf>
    <xf numFmtId="0" fontId="35" fillId="13" borderId="89" xfId="0" applyFont="1" applyFill="1" applyBorder="1" applyAlignment="1" applyProtection="1">
      <alignment horizontal="center" vertical="center"/>
      <protection hidden="1"/>
    </xf>
    <xf numFmtId="14" fontId="21" fillId="13" borderId="90"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wrapText="1"/>
      <protection locked="0" hidden="1"/>
    </xf>
    <xf numFmtId="0" fontId="36" fillId="2" borderId="82" xfId="0" applyFont="1" applyFill="1" applyBorder="1" applyAlignment="1" applyProtection="1">
      <alignment horizontal="center" vertical="center" wrapText="1"/>
      <protection locked="0" hidden="1"/>
    </xf>
    <xf numFmtId="0" fontId="36" fillId="2" borderId="93" xfId="0" applyFont="1" applyFill="1" applyBorder="1" applyAlignment="1" applyProtection="1">
      <alignment horizontal="center" vertical="center" wrapText="1"/>
      <protection locked="0" hidden="1"/>
    </xf>
    <xf numFmtId="0" fontId="28" fillId="13" borderId="82" xfId="0" applyFont="1" applyFill="1" applyBorder="1" applyAlignment="1" applyProtection="1">
      <alignment horizontal="center" vertical="center" wrapText="1"/>
      <protection hidden="1"/>
    </xf>
    <xf numFmtId="14" fontId="21" fillId="2" borderId="86" xfId="0" applyNumberFormat="1" applyFont="1" applyFill="1" applyBorder="1" applyAlignment="1" applyProtection="1">
      <alignment horizontal="center" vertical="center" wrapText="1"/>
      <protection locked="0" hidden="1"/>
    </xf>
    <xf numFmtId="0" fontId="37" fillId="0" borderId="74" xfId="0" applyFont="1" applyBorder="1" applyAlignment="1" applyProtection="1">
      <alignment horizontal="left" vertical="center" wrapText="1" indent="4"/>
      <protection locked="0"/>
    </xf>
    <xf numFmtId="14" fontId="27" fillId="5" borderId="76" xfId="0" applyNumberFormat="1" applyFont="1" applyFill="1" applyBorder="1" applyAlignment="1" applyProtection="1">
      <alignment horizontal="center"/>
      <protection hidden="1"/>
    </xf>
    <xf numFmtId="14" fontId="27" fillId="5" borderId="0" xfId="0" applyNumberFormat="1" applyFont="1" applyFill="1" applyBorder="1" applyAlignment="1" applyProtection="1">
      <alignment horizontal="center"/>
      <protection hidden="1"/>
    </xf>
    <xf numFmtId="14" fontId="27" fillId="5" borderId="77" xfId="0" applyNumberFormat="1" applyFont="1" applyFill="1" applyBorder="1" applyAlignment="1" applyProtection="1">
      <alignment horizontal="center"/>
      <protection hidden="1"/>
    </xf>
    <xf numFmtId="14" fontId="21" fillId="2" borderId="86" xfId="0" applyNumberFormat="1" applyFont="1" applyFill="1" applyBorder="1" applyAlignment="1" applyProtection="1">
      <alignment horizontal="center" vertical="center"/>
      <protection locked="0" hidden="1"/>
    </xf>
    <xf numFmtId="14" fontId="21" fillId="13" borderId="96" xfId="0" applyNumberFormat="1" applyFont="1" applyFill="1" applyBorder="1" applyAlignment="1" applyProtection="1">
      <alignment horizontal="center" vertical="center"/>
      <protection locked="0" hidden="1"/>
    </xf>
    <xf numFmtId="14" fontId="21" fillId="13" borderId="91" xfId="0" applyNumberFormat="1" applyFont="1" applyFill="1" applyBorder="1" applyAlignment="1" applyProtection="1">
      <alignment horizontal="center" vertical="center"/>
      <protection locked="0" hidden="1"/>
    </xf>
    <xf numFmtId="0" fontId="31" fillId="13" borderId="84" xfId="0" applyFont="1" applyFill="1" applyBorder="1" applyAlignment="1" applyProtection="1">
      <alignment horizontal="center" vertical="center" wrapText="1"/>
      <protection hidden="1"/>
    </xf>
    <xf numFmtId="0" fontId="31" fillId="13" borderId="88" xfId="0" applyFont="1" applyFill="1" applyBorder="1" applyAlignment="1" applyProtection="1">
      <alignment horizontal="center" vertical="center" wrapText="1"/>
      <protection hidden="1"/>
    </xf>
    <xf numFmtId="14" fontId="21" fillId="2" borderId="91" xfId="0" applyNumberFormat="1" applyFont="1" applyFill="1" applyBorder="1" applyAlignment="1" applyProtection="1">
      <alignment horizontal="center" vertical="center"/>
      <protection locked="0" hidden="1"/>
    </xf>
    <xf numFmtId="0" fontId="40" fillId="0" borderId="0" xfId="0" applyFont="1" applyAlignment="1" applyProtection="1">
      <alignment horizontal="left" indent="2"/>
      <protection locked="0"/>
    </xf>
    <xf numFmtId="14" fontId="21" fillId="2" borderId="88" xfId="0" applyNumberFormat="1" applyFont="1" applyFill="1" applyBorder="1" applyAlignment="1" applyProtection="1">
      <alignment horizontal="center" vertical="center"/>
      <protection locked="0" hidden="1"/>
    </xf>
    <xf numFmtId="166" fontId="36" fillId="2" borderId="86" xfId="0" applyNumberFormat="1" applyFont="1" applyFill="1" applyBorder="1" applyAlignment="1" applyProtection="1">
      <alignment horizontal="center" vertical="center"/>
      <protection locked="0" hidden="1"/>
    </xf>
    <xf numFmtId="14" fontId="21" fillId="13" borderId="87" xfId="0" applyNumberFormat="1" applyFont="1" applyFill="1" applyBorder="1" applyAlignment="1" applyProtection="1">
      <alignment horizontal="center" vertical="center"/>
      <protection locked="0" hidden="1"/>
    </xf>
    <xf numFmtId="0" fontId="35" fillId="2" borderId="85" xfId="0" applyFont="1" applyFill="1" applyBorder="1" applyAlignment="1" applyProtection="1">
      <alignment horizontal="center" vertical="center"/>
      <protection hidden="1"/>
    </xf>
    <xf numFmtId="0" fontId="36" fillId="13" borderId="90" xfId="0" applyFont="1" applyFill="1" applyBorder="1" applyAlignment="1" applyProtection="1">
      <alignment horizontal="center" vertical="center" wrapText="1"/>
      <protection locked="0" hidden="1"/>
    </xf>
    <xf numFmtId="0" fontId="35" fillId="13" borderId="90" xfId="0" applyFont="1" applyFill="1" applyBorder="1" applyAlignment="1" applyProtection="1">
      <alignment horizontal="center" vertical="center" wrapText="1"/>
      <protection locked="0" hidden="1"/>
    </xf>
    <xf numFmtId="0" fontId="36" fillId="2" borderId="90" xfId="0" applyFont="1" applyFill="1" applyBorder="1" applyAlignment="1" applyProtection="1">
      <alignment horizontal="center" vertical="center" wrapText="1"/>
      <protection locked="0" hidden="1"/>
    </xf>
    <xf numFmtId="0" fontId="36" fillId="2" borderId="86" xfId="0" applyFont="1" applyFill="1" applyBorder="1" applyAlignment="1" applyProtection="1">
      <alignment horizontal="center" vertical="center" wrapText="1"/>
      <protection locked="0" hidden="1"/>
    </xf>
    <xf numFmtId="0" fontId="35" fillId="2" borderId="89" xfId="0" applyFont="1" applyFill="1" applyBorder="1" applyAlignment="1" applyProtection="1">
      <alignment horizontal="center" vertical="center"/>
      <protection hidden="1"/>
    </xf>
    <xf numFmtId="164" fontId="36" fillId="13" borderId="90" xfId="0" applyNumberFormat="1" applyFont="1" applyFill="1" applyBorder="1" applyAlignment="1" applyProtection="1">
      <alignment horizontal="center" vertical="center"/>
      <protection locked="0" hidden="1"/>
    </xf>
    <xf numFmtId="0" fontId="39" fillId="0" borderId="0" xfId="0" applyFont="1" applyAlignment="1" applyProtection="1">
      <alignment horizontal="left"/>
      <protection hidden="1"/>
    </xf>
    <xf numFmtId="14" fontId="21" fillId="2" borderId="93" xfId="0" applyNumberFormat="1" applyFont="1" applyFill="1" applyBorder="1" applyAlignment="1" applyProtection="1">
      <alignment horizontal="center" vertical="center"/>
      <protection locked="0" hidden="1"/>
    </xf>
    <xf numFmtId="14" fontId="38" fillId="0" borderId="0" xfId="0" applyNumberFormat="1" applyFont="1" applyAlignment="1" applyProtection="1">
      <alignment horizontal="center" wrapText="1"/>
      <protection hidden="1"/>
    </xf>
    <xf numFmtId="0" fontId="38" fillId="0" borderId="0" xfId="0" applyFont="1" applyAlignment="1" applyProtection="1">
      <alignment horizontal="center" wrapText="1"/>
      <protection hidden="1"/>
    </xf>
    <xf numFmtId="164" fontId="36" fillId="2" borderId="93" xfId="0" applyNumberFormat="1" applyFont="1" applyFill="1" applyBorder="1" applyAlignment="1" applyProtection="1">
      <alignment horizontal="center" vertical="center"/>
      <protection locked="0" hidden="1"/>
    </xf>
    <xf numFmtId="0" fontId="54" fillId="13" borderId="13" xfId="0" applyFont="1" applyFill="1" applyBorder="1" applyAlignment="1" applyProtection="1">
      <alignment horizontal="center" vertical="center"/>
      <protection hidden="1"/>
    </xf>
    <xf numFmtId="0" fontId="51" fillId="2" borderId="104" xfId="0" applyFont="1" applyFill="1" applyBorder="1" applyAlignment="1" applyProtection="1">
      <alignment horizontal="justify" vertical="justify" wrapText="1"/>
      <protection locked="0"/>
    </xf>
    <xf numFmtId="0" fontId="52" fillId="2" borderId="79" xfId="0" applyFont="1" applyFill="1" applyBorder="1" applyAlignment="1" applyProtection="1">
      <protection locked="0"/>
    </xf>
    <xf numFmtId="0" fontId="52" fillId="2" borderId="105" xfId="0" applyFont="1" applyFill="1" applyBorder="1" applyAlignment="1" applyProtection="1">
      <protection locked="0"/>
    </xf>
    <xf numFmtId="1" fontId="70" fillId="0" borderId="108" xfId="0" applyNumberFormat="1" applyFont="1" applyFill="1" applyBorder="1" applyAlignment="1" applyProtection="1">
      <alignment horizontal="center" vertical="center"/>
      <protection hidden="1"/>
    </xf>
    <xf numFmtId="0" fontId="70" fillId="0" borderId="108" xfId="0" applyFont="1" applyFill="1" applyBorder="1" applyAlignment="1" applyProtection="1">
      <alignment horizontal="center" vertical="center"/>
      <protection hidden="1"/>
    </xf>
    <xf numFmtId="0" fontId="70" fillId="0" borderId="178" xfId="0" applyFont="1" applyFill="1" applyBorder="1" applyAlignment="1" applyProtection="1">
      <alignment horizontal="center" vertical="center"/>
      <protection hidden="1"/>
    </xf>
    <xf numFmtId="0" fontId="66" fillId="0" borderId="102" xfId="0" applyFont="1" applyBorder="1" applyAlignment="1" applyProtection="1">
      <alignment horizontal="center" vertical="center"/>
      <protection hidden="1"/>
    </xf>
    <xf numFmtId="0" fontId="66" fillId="0" borderId="0" xfId="0" applyFont="1" applyBorder="1" applyAlignment="1" applyProtection="1">
      <alignment horizontal="center" vertical="center"/>
      <protection hidden="1"/>
    </xf>
    <xf numFmtId="168" fontId="45" fillId="15" borderId="97" xfId="0" applyNumberFormat="1" applyFont="1" applyFill="1" applyBorder="1" applyAlignment="1" applyProtection="1">
      <alignment horizontal="center" vertical="center" wrapText="1"/>
      <protection hidden="1"/>
    </xf>
    <xf numFmtId="1" fontId="70" fillId="0" borderId="13" xfId="0" applyNumberFormat="1" applyFont="1" applyFill="1" applyBorder="1" applyAlignment="1" applyProtection="1">
      <alignment horizontal="center" vertical="center"/>
      <protection hidden="1"/>
    </xf>
    <xf numFmtId="0" fontId="70" fillId="0" borderId="13" xfId="0" applyFont="1" applyFill="1" applyBorder="1" applyAlignment="1" applyProtection="1">
      <alignment horizontal="center" vertical="center"/>
      <protection hidden="1"/>
    </xf>
    <xf numFmtId="0" fontId="70" fillId="0" borderId="171" xfId="0" applyFont="1" applyFill="1" applyBorder="1" applyAlignment="1" applyProtection="1">
      <alignment horizontal="center" vertical="center"/>
      <protection hidden="1"/>
    </xf>
    <xf numFmtId="0" fontId="73" fillId="0" borderId="171" xfId="0" applyFont="1" applyBorder="1" applyAlignment="1" applyProtection="1">
      <alignment horizontal="center"/>
      <protection hidden="1"/>
    </xf>
    <xf numFmtId="0" fontId="73" fillId="0" borderId="172" xfId="0" applyFont="1" applyBorder="1" applyAlignment="1" applyProtection="1">
      <alignment horizontal="center"/>
      <protection hidden="1"/>
    </xf>
    <xf numFmtId="0" fontId="73" fillId="0" borderId="173" xfId="0" applyFont="1" applyBorder="1" applyAlignment="1" applyProtection="1">
      <alignment horizontal="center"/>
      <protection hidden="1"/>
    </xf>
    <xf numFmtId="0" fontId="42" fillId="0" borderId="49" xfId="0" applyFont="1" applyBorder="1" applyAlignment="1" applyProtection="1">
      <alignment horizontal="center" vertical="center" wrapText="1"/>
      <protection locked="0"/>
    </xf>
    <xf numFmtId="0" fontId="42" fillId="0" borderId="55" xfId="0" applyFont="1" applyBorder="1" applyAlignment="1" applyProtection="1">
      <alignment horizontal="center" vertical="center" wrapText="1"/>
      <protection locked="0"/>
    </xf>
    <xf numFmtId="0" fontId="66" fillId="19" borderId="115" xfId="0" applyFont="1" applyFill="1" applyBorder="1" applyAlignment="1" applyProtection="1">
      <alignment horizontal="center" vertical="center"/>
      <protection hidden="1"/>
    </xf>
    <xf numFmtId="0" fontId="66" fillId="19" borderId="180" xfId="0" applyFont="1" applyFill="1" applyBorder="1" applyAlignment="1" applyProtection="1">
      <alignment horizontal="center" vertical="center"/>
      <protection hidden="1"/>
    </xf>
    <xf numFmtId="0" fontId="66" fillId="19" borderId="116" xfId="0" applyFont="1" applyFill="1" applyBorder="1" applyAlignment="1" applyProtection="1">
      <alignment horizontal="center" vertical="center"/>
      <protection hidden="1"/>
    </xf>
    <xf numFmtId="0" fontId="70" fillId="0" borderId="127" xfId="0" applyFont="1" applyBorder="1" applyAlignment="1" applyProtection="1">
      <alignment horizontal="center" vertical="center"/>
      <protection hidden="1"/>
    </xf>
    <xf numFmtId="0" fontId="70" fillId="0" borderId="13" xfId="0" applyFont="1" applyBorder="1" applyAlignment="1" applyProtection="1">
      <alignment horizontal="center" vertical="center"/>
      <protection hidden="1"/>
    </xf>
    <xf numFmtId="0" fontId="69" fillId="0" borderId="169" xfId="0" applyFont="1" applyBorder="1" applyAlignment="1" applyProtection="1">
      <alignment horizontal="center" vertical="center" textRotation="90" wrapText="1"/>
      <protection hidden="1"/>
    </xf>
    <xf numFmtId="0" fontId="69" fillId="0" borderId="145" xfId="0" applyFont="1" applyBorder="1" applyAlignment="1" applyProtection="1">
      <alignment horizontal="center" vertical="center" textRotation="90" wrapText="1"/>
      <protection hidden="1"/>
    </xf>
    <xf numFmtId="0" fontId="69" fillId="0" borderId="176" xfId="0" applyFont="1" applyBorder="1" applyAlignment="1" applyProtection="1">
      <alignment horizontal="center" vertical="center" textRotation="90" wrapText="1"/>
      <protection hidden="1"/>
    </xf>
    <xf numFmtId="0" fontId="70" fillId="0" borderId="108" xfId="0" applyFont="1" applyBorder="1" applyAlignment="1" applyProtection="1">
      <alignment horizontal="center" vertical="center"/>
      <protection hidden="1"/>
    </xf>
    <xf numFmtId="0" fontId="54" fillId="2" borderId="74" xfId="0" applyFont="1" applyFill="1" applyBorder="1" applyAlignment="1" applyProtection="1">
      <alignment horizontal="left" vertical="center" indent="1"/>
      <protection locked="0" hidden="1"/>
    </xf>
    <xf numFmtId="1" fontId="54" fillId="13" borderId="13" xfId="0" applyNumberFormat="1" applyFont="1" applyFill="1" applyBorder="1" applyAlignment="1" applyProtection="1">
      <alignment horizontal="center" vertical="center"/>
      <protection hidden="1"/>
    </xf>
    <xf numFmtId="0" fontId="54" fillId="13" borderId="171" xfId="0" applyFont="1" applyFill="1" applyBorder="1" applyAlignment="1" applyProtection="1">
      <alignment horizontal="center" vertical="center"/>
      <protection hidden="1"/>
    </xf>
    <xf numFmtId="0" fontId="59" fillId="17" borderId="107" xfId="0" applyFont="1" applyFill="1" applyBorder="1" applyAlignment="1" applyProtection="1">
      <alignment horizontal="center" vertical="center" wrapText="1"/>
      <protection locked="0" hidden="1"/>
    </xf>
    <xf numFmtId="0" fontId="59" fillId="17" borderId="108" xfId="0" applyFont="1" applyFill="1" applyBorder="1" applyAlignment="1" applyProtection="1">
      <alignment horizontal="center" vertical="center" wrapText="1"/>
      <protection locked="0" hidden="1"/>
    </xf>
    <xf numFmtId="0" fontId="59" fillId="17" borderId="109" xfId="0" applyFont="1" applyFill="1" applyBorder="1" applyAlignment="1" applyProtection="1">
      <alignment horizontal="center" vertical="center" wrapText="1"/>
      <protection locked="0" hidden="1"/>
    </xf>
    <xf numFmtId="0" fontId="59" fillId="0" borderId="107" xfId="0" applyFont="1" applyBorder="1" applyAlignment="1" applyProtection="1">
      <alignment horizontal="center" vertical="center" wrapText="1"/>
      <protection hidden="1"/>
    </xf>
    <xf numFmtId="0" fontId="59" fillId="0" borderId="108" xfId="0" applyFont="1" applyBorder="1" applyAlignment="1" applyProtection="1">
      <alignment horizontal="center" vertical="center" wrapText="1"/>
      <protection hidden="1"/>
    </xf>
    <xf numFmtId="0" fontId="59" fillId="0" borderId="109" xfId="0" applyFont="1" applyBorder="1" applyAlignment="1" applyProtection="1">
      <alignment horizontal="center" vertical="center" wrapText="1"/>
      <protection hidden="1"/>
    </xf>
    <xf numFmtId="0" fontId="57" fillId="0" borderId="107" xfId="0" applyFont="1" applyBorder="1" applyAlignment="1" applyProtection="1">
      <alignment horizontal="center" vertical="center" wrapText="1"/>
      <protection hidden="1"/>
    </xf>
    <xf numFmtId="0" fontId="57" fillId="0" borderId="108" xfId="0" applyFont="1" applyBorder="1" applyAlignment="1" applyProtection="1">
      <alignment horizontal="center" vertical="center" wrapText="1"/>
      <protection hidden="1"/>
    </xf>
    <xf numFmtId="0" fontId="57" fillId="0" borderId="109" xfId="0" applyFont="1" applyBorder="1" applyAlignment="1" applyProtection="1">
      <alignment horizontal="center" vertical="center" wrapText="1"/>
      <protection hidden="1"/>
    </xf>
    <xf numFmtId="0" fontId="70" fillId="0" borderId="141" xfId="0" applyFont="1" applyFill="1" applyBorder="1" applyAlignment="1" applyProtection="1">
      <alignment horizontal="center" vertical="center"/>
      <protection hidden="1"/>
    </xf>
    <xf numFmtId="1" fontId="71" fillId="0" borderId="172" xfId="0" applyNumberFormat="1" applyFont="1" applyBorder="1" applyAlignment="1" applyProtection="1">
      <alignment horizontal="center"/>
      <protection hidden="1"/>
    </xf>
    <xf numFmtId="0" fontId="71" fillId="0" borderId="172" xfId="0" applyFont="1" applyBorder="1" applyAlignment="1" applyProtection="1">
      <alignment horizontal="center"/>
      <protection hidden="1"/>
    </xf>
    <xf numFmtId="0" fontId="71" fillId="0" borderId="174" xfId="0" applyFont="1" applyBorder="1" applyAlignment="1" applyProtection="1">
      <alignment horizontal="center"/>
      <protection hidden="1"/>
    </xf>
    <xf numFmtId="1" fontId="54" fillId="13" borderId="116" xfId="0" applyNumberFormat="1" applyFont="1" applyFill="1" applyBorder="1" applyAlignment="1" applyProtection="1">
      <alignment horizontal="center" vertical="center"/>
      <protection hidden="1"/>
    </xf>
    <xf numFmtId="1" fontId="54" fillId="13" borderId="177" xfId="0" applyNumberFormat="1" applyFont="1" applyFill="1" applyBorder="1" applyAlignment="1" applyProtection="1">
      <alignment horizontal="center" vertical="center"/>
      <protection hidden="1"/>
    </xf>
    <xf numFmtId="1" fontId="54" fillId="13" borderId="117" xfId="0" applyNumberFormat="1" applyFont="1" applyFill="1" applyBorder="1" applyAlignment="1" applyProtection="1">
      <alignment horizontal="center" vertical="center"/>
      <protection hidden="1"/>
    </xf>
    <xf numFmtId="0" fontId="53" fillId="2" borderId="73" xfId="0" applyFont="1" applyFill="1" applyBorder="1" applyAlignment="1" applyProtection="1">
      <alignment horizontal="right" vertical="center"/>
      <protection hidden="1"/>
    </xf>
    <xf numFmtId="0" fontId="53" fillId="2" borderId="74" xfId="0" applyFont="1" applyFill="1" applyBorder="1" applyAlignment="1" applyProtection="1">
      <alignment horizontal="right" vertical="center"/>
      <protection hidden="1"/>
    </xf>
    <xf numFmtId="0" fontId="47" fillId="16" borderId="98" xfId="0" applyFont="1" applyFill="1" applyBorder="1" applyAlignment="1" applyProtection="1">
      <alignment horizontal="center" vertical="center" wrapText="1"/>
      <protection hidden="1"/>
    </xf>
    <xf numFmtId="14" fontId="54" fillId="2" borderId="71" xfId="0" quotePrefix="1" applyNumberFormat="1" applyFont="1" applyFill="1" applyBorder="1" applyAlignment="1" applyProtection="1">
      <alignment horizontal="center" vertical="center"/>
      <protection locked="0" hidden="1"/>
    </xf>
    <xf numFmtId="14" fontId="49" fillId="13" borderId="99" xfId="0" applyNumberFormat="1" applyFont="1" applyFill="1" applyBorder="1" applyAlignment="1" applyProtection="1">
      <alignment horizontal="center" vertical="center"/>
      <protection locked="0" hidden="1"/>
    </xf>
    <xf numFmtId="0" fontId="49" fillId="13" borderId="100" xfId="0" applyFont="1" applyFill="1" applyBorder="1" applyAlignment="1" applyProtection="1">
      <alignment horizontal="center" vertical="center"/>
      <protection locked="0" hidden="1"/>
    </xf>
    <xf numFmtId="0" fontId="49" fillId="13" borderId="101" xfId="0" applyFont="1" applyFill="1" applyBorder="1" applyAlignment="1" applyProtection="1">
      <alignment horizontal="center" vertical="center"/>
      <protection locked="0" hidden="1"/>
    </xf>
    <xf numFmtId="0" fontId="43" fillId="15" borderId="97" xfId="0" applyFont="1" applyFill="1" applyBorder="1" applyAlignment="1" applyProtection="1">
      <alignment horizontal="right" vertical="center" wrapText="1"/>
      <protection hidden="1"/>
    </xf>
    <xf numFmtId="0" fontId="53" fillId="2" borderId="74" xfId="0" applyFont="1" applyFill="1" applyBorder="1" applyAlignment="1" applyProtection="1">
      <alignment horizontal="center" vertical="center"/>
      <protection hidden="1"/>
    </xf>
    <xf numFmtId="0" fontId="48" fillId="6" borderId="49" xfId="0" applyFont="1" applyFill="1" applyBorder="1" applyAlignment="1" applyProtection="1">
      <alignment horizontal="center" vertical="center" wrapText="1"/>
      <protection hidden="1"/>
    </xf>
    <xf numFmtId="0" fontId="48" fillId="6" borderId="62" xfId="0" applyFont="1" applyFill="1" applyBorder="1" applyAlignment="1" applyProtection="1">
      <alignment horizontal="center" vertical="center" wrapText="1"/>
      <protection hidden="1"/>
    </xf>
    <xf numFmtId="0" fontId="1" fillId="3" borderId="100" xfId="0" applyFont="1" applyFill="1" applyBorder="1" applyAlignment="1" applyProtection="1">
      <alignment horizontal="center"/>
      <protection hidden="1"/>
    </xf>
    <xf numFmtId="0" fontId="58" fillId="0" borderId="106" xfId="0" applyFont="1" applyBorder="1" applyAlignment="1" applyProtection="1">
      <alignment horizontal="center" vertical="center" wrapText="1"/>
      <protection hidden="1"/>
    </xf>
    <xf numFmtId="0" fontId="58" fillId="0" borderId="114" xfId="0" applyFont="1" applyBorder="1" applyAlignment="1" applyProtection="1">
      <alignment horizontal="center" vertical="center" wrapText="1"/>
      <protection hidden="1"/>
    </xf>
    <xf numFmtId="0" fontId="55" fillId="2" borderId="70" xfId="0" applyFont="1" applyFill="1" applyBorder="1" applyAlignment="1" applyProtection="1">
      <alignment horizontal="right" vertical="center" wrapText="1"/>
      <protection hidden="1"/>
    </xf>
    <xf numFmtId="0" fontId="1" fillId="0" borderId="71" xfId="0" applyFont="1" applyBorder="1" applyAlignment="1" applyProtection="1">
      <protection hidden="1"/>
    </xf>
    <xf numFmtId="0" fontId="72" fillId="0" borderId="102" xfId="0" applyFont="1" applyFill="1" applyBorder="1" applyAlignment="1" applyProtection="1">
      <alignment horizontal="center" vertical="center" wrapText="1"/>
      <protection hidden="1"/>
    </xf>
    <xf numFmtId="0" fontId="1" fillId="0" borderId="0" xfId="0" applyFont="1" applyBorder="1" applyAlignment="1" applyProtection="1">
      <protection hidden="1"/>
    </xf>
    <xf numFmtId="0" fontId="1" fillId="0" borderId="103" xfId="0" applyFont="1" applyBorder="1" applyAlignment="1" applyProtection="1">
      <protection hidden="1"/>
    </xf>
    <xf numFmtId="0" fontId="1" fillId="0" borderId="102" xfId="0" applyFont="1" applyBorder="1" applyAlignment="1" applyProtection="1">
      <protection hidden="1"/>
    </xf>
    <xf numFmtId="0" fontId="1" fillId="0" borderId="181" xfId="0" applyFont="1" applyBorder="1" applyAlignment="1" applyProtection="1">
      <protection hidden="1"/>
    </xf>
    <xf numFmtId="0" fontId="1" fillId="0" borderId="182" xfId="0" applyFont="1" applyBorder="1" applyAlignment="1" applyProtection="1">
      <protection hidden="1"/>
    </xf>
    <xf numFmtId="0" fontId="1" fillId="0" borderId="183" xfId="0" applyFont="1" applyBorder="1" applyAlignment="1" applyProtection="1">
      <protection hidden="1"/>
    </xf>
    <xf numFmtId="1" fontId="66" fillId="19" borderId="116" xfId="0" applyNumberFormat="1" applyFont="1" applyFill="1" applyBorder="1" applyAlignment="1" applyProtection="1">
      <alignment horizontal="center" vertical="center"/>
      <protection hidden="1"/>
    </xf>
    <xf numFmtId="0" fontId="66" fillId="19" borderId="177" xfId="0" applyFont="1" applyFill="1" applyBorder="1" applyAlignment="1" applyProtection="1">
      <alignment horizontal="center" vertical="center"/>
      <protection hidden="1"/>
    </xf>
    <xf numFmtId="0" fontId="60" fillId="0" borderId="113" xfId="0" applyFont="1" applyBorder="1" applyAlignment="1" applyProtection="1">
      <alignment horizontal="center" vertical="center" textRotation="90" wrapText="1"/>
      <protection hidden="1"/>
    </xf>
    <xf numFmtId="0" fontId="60" fillId="0" borderId="123" xfId="0" applyFont="1" applyBorder="1" applyAlignment="1" applyProtection="1">
      <alignment horizontal="center" vertical="center" textRotation="90" wrapText="1"/>
      <protection hidden="1"/>
    </xf>
    <xf numFmtId="0" fontId="53" fillId="0" borderId="107" xfId="0" applyFont="1" applyBorder="1" applyAlignment="1" applyProtection="1">
      <alignment horizontal="center" vertical="center" wrapText="1"/>
      <protection hidden="1"/>
    </xf>
    <xf numFmtId="0" fontId="53" fillId="0" borderId="108" xfId="0" applyFont="1" applyBorder="1" applyAlignment="1" applyProtection="1">
      <alignment horizontal="center" vertical="center" wrapText="1"/>
      <protection hidden="1"/>
    </xf>
    <xf numFmtId="0" fontId="53" fillId="0" borderId="109" xfId="0" applyFont="1" applyBorder="1" applyAlignment="1" applyProtection="1">
      <alignment horizontal="center" vertical="center" wrapText="1"/>
      <protection hidden="1"/>
    </xf>
    <xf numFmtId="0" fontId="67" fillId="0" borderId="102" xfId="0" applyFont="1" applyFill="1" applyBorder="1" applyAlignment="1" applyProtection="1">
      <alignment horizontal="center" vertical="center" wrapText="1"/>
      <protection locked="0" hidden="1"/>
    </xf>
    <xf numFmtId="0" fontId="67" fillId="0" borderId="0" xfId="0" applyFont="1" applyFill="1" applyBorder="1" applyAlignment="1" applyProtection="1">
      <alignment horizontal="center" vertical="center" wrapText="1"/>
      <protection locked="0" hidden="1"/>
    </xf>
    <xf numFmtId="0" fontId="67" fillId="0" borderId="103" xfId="0" applyFont="1" applyFill="1" applyBorder="1" applyAlignment="1" applyProtection="1">
      <alignment horizontal="center" vertical="center" wrapText="1"/>
      <protection locked="0" hidden="1"/>
    </xf>
    <xf numFmtId="0" fontId="1" fillId="3" borderId="7" xfId="0" applyFont="1" applyFill="1" applyBorder="1" applyAlignment="1" applyProtection="1">
      <alignment horizontal="center"/>
      <protection hidden="1"/>
    </xf>
    <xf numFmtId="0" fontId="1" fillId="3" borderId="0" xfId="0" applyFont="1" applyFill="1" applyBorder="1" applyAlignment="1" applyProtection="1">
      <alignment horizontal="center"/>
      <protection hidden="1"/>
    </xf>
    <xf numFmtId="0" fontId="9" fillId="14" borderId="97" xfId="0" applyFont="1" applyFill="1" applyBorder="1" applyAlignment="1" applyProtection="1">
      <alignment horizontal="center" vertical="center" wrapText="1"/>
      <protection hidden="1"/>
    </xf>
    <xf numFmtId="0" fontId="45" fillId="2" borderId="71" xfId="0" applyFont="1" applyFill="1" applyBorder="1" applyAlignment="1" applyProtection="1">
      <alignment horizontal="center" vertical="center" wrapText="1"/>
      <protection hidden="1"/>
    </xf>
    <xf numFmtId="0" fontId="45" fillId="2" borderId="72" xfId="0" applyFont="1" applyFill="1" applyBorder="1" applyAlignment="1" applyProtection="1">
      <alignment horizontal="center" vertical="center" wrapText="1"/>
      <protection hidden="1"/>
    </xf>
    <xf numFmtId="0" fontId="58" fillId="0" borderId="95" xfId="0" applyFont="1" applyBorder="1" applyAlignment="1" applyProtection="1">
      <alignment horizontal="center" vertical="center" textRotation="90" wrapText="1"/>
      <protection hidden="1"/>
    </xf>
    <xf numFmtId="0" fontId="58" fillId="0" borderId="92" xfId="0" applyFont="1" applyBorder="1" applyAlignment="1" applyProtection="1">
      <alignment horizontal="center" vertical="center" textRotation="90" wrapText="1"/>
      <protection hidden="1"/>
    </xf>
    <xf numFmtId="49" fontId="64" fillId="13" borderId="160" xfId="0" applyNumberFormat="1" applyFont="1" applyFill="1" applyBorder="1" applyAlignment="1" applyProtection="1">
      <alignment horizontal="center" vertical="center"/>
      <protection hidden="1"/>
    </xf>
    <xf numFmtId="49" fontId="64" fillId="13" borderId="71" xfId="0" applyNumberFormat="1" applyFont="1" applyFill="1" applyBorder="1" applyAlignment="1" applyProtection="1">
      <alignment horizontal="center" vertical="center"/>
      <protection hidden="1"/>
    </xf>
    <xf numFmtId="1" fontId="70" fillId="0" borderId="127" xfId="0" applyNumberFormat="1" applyFont="1" applyFill="1" applyBorder="1" applyAlignment="1" applyProtection="1">
      <alignment horizontal="center" vertical="center"/>
      <protection hidden="1"/>
    </xf>
    <xf numFmtId="0" fontId="70" fillId="0" borderId="127" xfId="0" applyFont="1" applyFill="1" applyBorder="1" applyAlignment="1" applyProtection="1">
      <alignment horizontal="center" vertical="center"/>
      <protection hidden="1"/>
    </xf>
    <xf numFmtId="0" fontId="70" fillId="0" borderId="170" xfId="0" applyFont="1" applyFill="1" applyBorder="1" applyAlignment="1" applyProtection="1">
      <alignment horizontal="center" vertical="center"/>
      <protection hidden="1"/>
    </xf>
    <xf numFmtId="0" fontId="70" fillId="0" borderId="128" xfId="0" applyFont="1" applyFill="1" applyBorder="1" applyAlignment="1" applyProtection="1">
      <alignment horizontal="center" vertical="center"/>
      <protection hidden="1"/>
    </xf>
    <xf numFmtId="0" fontId="60" fillId="0" borderId="77" xfId="0" applyFont="1" applyBorder="1" applyAlignment="1" applyProtection="1">
      <alignment horizontal="center" vertical="center" wrapText="1"/>
      <protection hidden="1"/>
    </xf>
    <xf numFmtId="0" fontId="60" fillId="0" borderId="80" xfId="0" applyFont="1" applyBorder="1" applyAlignment="1" applyProtection="1">
      <alignment horizontal="center" vertical="center" wrapText="1"/>
      <protection hidden="1"/>
    </xf>
    <xf numFmtId="0" fontId="44" fillId="15" borderId="97" xfId="0" applyFont="1" applyFill="1" applyBorder="1" applyAlignment="1" applyProtection="1">
      <alignment horizontal="right" vertical="center" wrapText="1"/>
      <protection hidden="1"/>
    </xf>
    <xf numFmtId="0" fontId="50" fillId="0" borderId="102" xfId="0" applyFont="1" applyBorder="1" applyAlignment="1" applyProtection="1">
      <alignment horizontal="center" vertical="center"/>
      <protection hidden="1"/>
    </xf>
    <xf numFmtId="0" fontId="50" fillId="0" borderId="0" xfId="0" applyFont="1" applyBorder="1" applyAlignment="1" applyProtection="1">
      <alignment horizontal="center" vertical="center"/>
      <protection hidden="1"/>
    </xf>
    <xf numFmtId="0" fontId="50" fillId="0" borderId="103" xfId="0" applyFont="1" applyBorder="1" applyAlignment="1" applyProtection="1">
      <alignment horizontal="center" vertical="center"/>
      <protection hidden="1"/>
    </xf>
    <xf numFmtId="0" fontId="42" fillId="14" borderId="97" xfId="0" applyFont="1" applyFill="1" applyBorder="1" applyAlignment="1" applyProtection="1">
      <alignment horizontal="center" vertical="center"/>
      <protection hidden="1"/>
    </xf>
    <xf numFmtId="168" fontId="42" fillId="14" borderId="97" xfId="0" quotePrefix="1" applyNumberFormat="1" applyFont="1" applyFill="1" applyBorder="1" applyAlignment="1" applyProtection="1">
      <alignment horizontal="center" vertical="center"/>
      <protection hidden="1"/>
    </xf>
    <xf numFmtId="0" fontId="41" fillId="6" borderId="0" xfId="0" applyFont="1" applyFill="1" applyBorder="1" applyAlignment="1" applyProtection="1">
      <alignment horizontal="center"/>
      <protection hidden="1"/>
    </xf>
    <xf numFmtId="0" fontId="54" fillId="2" borderId="74" xfId="0" applyFont="1" applyFill="1" applyBorder="1" applyAlignment="1" applyProtection="1">
      <alignment horizontal="left" vertical="center"/>
      <protection locked="0" hidden="1"/>
    </xf>
    <xf numFmtId="0" fontId="54" fillId="2" borderId="75" xfId="0" applyFont="1" applyFill="1" applyBorder="1" applyAlignment="1" applyProtection="1">
      <alignment horizontal="left" vertical="center"/>
      <protection locked="0" hidden="1"/>
    </xf>
    <xf numFmtId="0" fontId="54" fillId="13" borderId="116" xfId="0" applyFont="1" applyFill="1" applyBorder="1" applyAlignment="1" applyProtection="1">
      <alignment horizontal="center" vertical="center"/>
      <protection hidden="1"/>
    </xf>
    <xf numFmtId="0" fontId="60" fillId="0" borderId="112" xfId="0" applyFont="1" applyBorder="1" applyAlignment="1" applyProtection="1">
      <alignment horizontal="center" vertical="center" textRotation="90" wrapText="1"/>
      <protection hidden="1"/>
    </xf>
    <xf numFmtId="0" fontId="60" fillId="0" borderId="35" xfId="0" applyFont="1" applyBorder="1" applyAlignment="1" applyProtection="1">
      <alignment horizontal="center" vertical="center" textRotation="90" wrapText="1"/>
      <protection hidden="1"/>
    </xf>
    <xf numFmtId="9" fontId="46" fillId="14" borderId="98" xfId="0" applyNumberFormat="1" applyFont="1" applyFill="1" applyBorder="1" applyAlignment="1" applyProtection="1">
      <alignment horizontal="center" vertical="center"/>
      <protection hidden="1"/>
    </xf>
    <xf numFmtId="0" fontId="70" fillId="0" borderId="145" xfId="0" applyFont="1" applyBorder="1" applyAlignment="1" applyProtection="1">
      <alignment horizontal="center" vertical="center" textRotation="90"/>
      <protection hidden="1"/>
    </xf>
    <xf numFmtId="0" fontId="70" fillId="0" borderId="178" xfId="0" applyFont="1" applyBorder="1" applyAlignment="1" applyProtection="1">
      <alignment horizontal="center" vertical="center" textRotation="90"/>
      <protection hidden="1"/>
    </xf>
    <xf numFmtId="0" fontId="60" fillId="0" borderId="111" xfId="0" applyFont="1" applyBorder="1" applyAlignment="1" applyProtection="1">
      <alignment horizontal="center" vertical="center" textRotation="90" wrapText="1"/>
      <protection hidden="1"/>
    </xf>
    <xf numFmtId="0" fontId="60" fillId="0" borderId="122" xfId="0" applyFont="1" applyBorder="1" applyAlignment="1" applyProtection="1">
      <alignment horizontal="center" vertical="center" textRotation="90" wrapText="1"/>
      <protection hidden="1"/>
    </xf>
    <xf numFmtId="0" fontId="1" fillId="0" borderId="171" xfId="0" applyFont="1" applyBorder="1" applyAlignment="1" applyProtection="1">
      <alignment horizontal="center"/>
      <protection hidden="1"/>
    </xf>
    <xf numFmtId="0" fontId="1" fillId="0" borderId="172" xfId="0" applyFont="1" applyBorder="1" applyAlignment="1" applyProtection="1">
      <alignment horizontal="center"/>
      <protection hidden="1"/>
    </xf>
    <xf numFmtId="0" fontId="1" fillId="0" borderId="173" xfId="0" applyFont="1" applyBorder="1" applyAlignment="1" applyProtection="1">
      <alignment horizontal="center"/>
      <protection hidden="1"/>
    </xf>
    <xf numFmtId="0" fontId="59" fillId="0" borderId="110" xfId="0" applyFont="1" applyBorder="1" applyAlignment="1" applyProtection="1">
      <alignment horizontal="center" vertical="center" wrapText="1"/>
      <protection hidden="1"/>
    </xf>
    <xf numFmtId="1" fontId="71" fillId="0" borderId="179" xfId="0" applyNumberFormat="1" applyFont="1" applyBorder="1" applyAlignment="1" applyProtection="1">
      <alignment horizontal="center"/>
      <protection hidden="1"/>
    </xf>
    <xf numFmtId="0" fontId="1" fillId="0" borderId="0" xfId="0" applyFont="1" applyFill="1" applyBorder="1" applyAlignment="1">
      <alignment horizontal="center" vertical="top"/>
    </xf>
    <xf numFmtId="0" fontId="1" fillId="0" borderId="184" xfId="0" applyFont="1" applyFill="1" applyBorder="1" applyAlignment="1">
      <alignment horizontal="center" vertical="top"/>
    </xf>
    <xf numFmtId="0" fontId="1" fillId="0" borderId="187" xfId="0" applyFont="1" applyFill="1" applyBorder="1" applyAlignment="1">
      <alignment horizontal="center" vertical="top"/>
    </xf>
    <xf numFmtId="0" fontId="1" fillId="0" borderId="189" xfId="0" applyFont="1" applyFill="1" applyBorder="1" applyAlignment="1">
      <alignment horizontal="center" vertical="top"/>
    </xf>
    <xf numFmtId="0" fontId="1" fillId="0" borderId="186" xfId="0" applyFont="1" applyFill="1" applyBorder="1" applyAlignment="1">
      <alignment horizontal="center" vertical="top"/>
    </xf>
    <xf numFmtId="0" fontId="1" fillId="0" borderId="188" xfId="0" applyFont="1" applyFill="1" applyBorder="1" applyAlignment="1">
      <alignment horizontal="center" vertical="top"/>
    </xf>
    <xf numFmtId="0" fontId="1" fillId="0" borderId="191" xfId="0" applyFont="1" applyFill="1" applyBorder="1" applyAlignment="1">
      <alignment horizontal="center" vertical="top"/>
    </xf>
    <xf numFmtId="0" fontId="1" fillId="6" borderId="0" xfId="0" applyFont="1" applyFill="1" applyAlignment="1" applyProtection="1">
      <alignment horizontal="center"/>
      <protection hidden="1"/>
    </xf>
    <xf numFmtId="0" fontId="85" fillId="17" borderId="86" xfId="2" applyFont="1" applyFill="1" applyBorder="1" applyAlignment="1" applyProtection="1">
      <alignment horizontal="center" vertical="center"/>
      <protection hidden="1"/>
    </xf>
    <xf numFmtId="0" fontId="12" fillId="17" borderId="86" xfId="2" applyFont="1" applyFill="1" applyBorder="1" applyAlignment="1" applyProtection="1">
      <alignment horizontal="center" vertical="center"/>
      <protection hidden="1"/>
    </xf>
    <xf numFmtId="0" fontId="82" fillId="2" borderId="86" xfId="2" applyFont="1" applyFill="1" applyBorder="1" applyAlignment="1" applyProtection="1">
      <alignment horizontal="center" vertical="center"/>
      <protection hidden="1"/>
    </xf>
    <xf numFmtId="0" fontId="83" fillId="6" borderId="0" xfId="2" applyFill="1" applyAlignment="1" applyProtection="1">
      <alignment horizontal="center" vertical="center"/>
      <protection hidden="1"/>
    </xf>
    <xf numFmtId="0" fontId="85" fillId="17" borderId="86" xfId="2" applyFont="1" applyFill="1" applyBorder="1" applyAlignment="1" applyProtection="1">
      <alignment horizontal="center" vertical="center" wrapText="1"/>
    </xf>
    <xf numFmtId="0" fontId="12" fillId="17" borderId="93" xfId="2" applyFont="1" applyFill="1" applyBorder="1" applyAlignment="1" applyProtection="1">
      <alignment horizontal="center" vertical="center" wrapText="1"/>
    </xf>
    <xf numFmtId="0" fontId="12" fillId="17" borderId="192" xfId="2" applyFont="1" applyFill="1" applyBorder="1" applyAlignment="1" applyProtection="1">
      <alignment horizontal="center" vertical="center" wrapText="1"/>
    </xf>
    <xf numFmtId="0" fontId="12" fillId="17" borderId="87" xfId="2" applyFont="1" applyFill="1" applyBorder="1" applyAlignment="1" applyProtection="1">
      <alignment horizontal="center" vertical="center" wrapText="1"/>
    </xf>
    <xf numFmtId="1" fontId="100" fillId="2" borderId="77" xfId="0" applyNumberFormat="1" applyFont="1" applyFill="1" applyBorder="1" applyAlignment="1" applyProtection="1">
      <alignment horizontal="center" vertical="center" wrapText="1"/>
      <protection locked="0" hidden="1"/>
    </xf>
    <xf numFmtId="1" fontId="61" fillId="3" borderId="13" xfId="0" applyNumberFormat="1" applyFont="1" applyFill="1" applyBorder="1" applyAlignment="1" applyProtection="1">
      <alignment horizontal="center" vertical="center"/>
      <protection hidden="1"/>
    </xf>
    <xf numFmtId="14" fontId="61" fillId="3" borderId="0" xfId="0" applyNumberFormat="1" applyFont="1" applyFill="1" applyBorder="1" applyAlignment="1" applyProtection="1">
      <alignment horizontal="center" vertical="center"/>
      <protection hidden="1"/>
    </xf>
    <xf numFmtId="173" fontId="61" fillId="3" borderId="0" xfId="0" applyNumberFormat="1" applyFont="1" applyFill="1" applyBorder="1" applyAlignment="1" applyProtection="1">
      <alignment horizontal="center" vertical="center"/>
      <protection hidden="1"/>
    </xf>
    <xf numFmtId="0" fontId="62" fillId="22" borderId="124" xfId="0" applyFont="1" applyFill="1" applyBorder="1" applyAlignment="1" applyProtection="1">
      <alignment horizontal="center" vertical="center"/>
      <protection hidden="1"/>
    </xf>
    <xf numFmtId="167" fontId="62" fillId="22" borderId="125" xfId="0" applyNumberFormat="1" applyFont="1" applyFill="1" applyBorder="1" applyAlignment="1" applyProtection="1">
      <alignment horizontal="center" vertical="center" wrapText="1"/>
      <protection hidden="1"/>
    </xf>
    <xf numFmtId="1" fontId="62" fillId="22" borderId="126" xfId="0" applyNumberFormat="1" applyFont="1" applyFill="1" applyBorder="1" applyAlignment="1" applyProtection="1">
      <alignment horizontal="center" vertical="center"/>
      <protection hidden="1"/>
    </xf>
    <xf numFmtId="1" fontId="62" fillId="22" borderId="127" xfId="0" applyNumberFormat="1" applyFont="1" applyFill="1" applyBorder="1" applyAlignment="1" applyProtection="1">
      <alignment horizontal="center" vertical="center"/>
      <protection hidden="1"/>
    </xf>
    <xf numFmtId="1" fontId="58" fillId="22" borderId="128" xfId="0" applyNumberFormat="1" applyFont="1" applyFill="1" applyBorder="1" applyAlignment="1" applyProtection="1">
      <alignment horizontal="center" vertical="center"/>
      <protection hidden="1"/>
    </xf>
    <xf numFmtId="1" fontId="62" fillId="22" borderId="129" xfId="0" applyNumberFormat="1" applyFont="1" applyFill="1" applyBorder="1" applyAlignment="1" applyProtection="1">
      <alignment horizontal="center" vertical="center"/>
      <protection hidden="1"/>
    </xf>
    <xf numFmtId="1" fontId="62" fillId="22" borderId="130" xfId="0" applyNumberFormat="1" applyFont="1" applyFill="1" applyBorder="1" applyAlignment="1" applyProtection="1">
      <alignment horizontal="center" vertical="center"/>
      <protection hidden="1"/>
    </xf>
    <xf numFmtId="1" fontId="58" fillId="22" borderId="131" xfId="0" applyNumberFormat="1" applyFont="1" applyFill="1" applyBorder="1" applyAlignment="1" applyProtection="1">
      <alignment horizontal="center" vertical="center"/>
      <protection hidden="1"/>
    </xf>
    <xf numFmtId="1" fontId="58" fillId="22" borderId="132" xfId="0" applyNumberFormat="1" applyFont="1" applyFill="1" applyBorder="1" applyAlignment="1" applyProtection="1">
      <alignment horizontal="center" vertical="center"/>
      <protection hidden="1"/>
    </xf>
    <xf numFmtId="1" fontId="62" fillId="22" borderId="133" xfId="0" applyNumberFormat="1" applyFont="1" applyFill="1" applyBorder="1" applyAlignment="1" applyProtection="1">
      <alignment horizontal="center" vertical="center"/>
      <protection hidden="1"/>
    </xf>
    <xf numFmtId="1" fontId="58" fillId="22" borderId="134" xfId="0" applyNumberFormat="1" applyFont="1" applyFill="1" applyBorder="1" applyAlignment="1" applyProtection="1">
      <alignment horizontal="center" vertical="center"/>
      <protection hidden="1"/>
    </xf>
    <xf numFmtId="1" fontId="58" fillId="22" borderId="135" xfId="0" applyNumberFormat="1" applyFont="1" applyFill="1" applyBorder="1" applyAlignment="1" applyProtection="1">
      <alignment horizontal="center" vertical="center"/>
      <protection hidden="1"/>
    </xf>
    <xf numFmtId="1" fontId="58" fillId="22" borderId="136" xfId="0" applyNumberFormat="1" applyFont="1" applyFill="1" applyBorder="1" applyAlignment="1" applyProtection="1">
      <alignment horizontal="center" vertical="center"/>
      <protection hidden="1"/>
    </xf>
    <xf numFmtId="1" fontId="59" fillId="22" borderId="137" xfId="0" applyNumberFormat="1" applyFont="1" applyFill="1" applyBorder="1" applyAlignment="1" applyProtection="1">
      <alignment horizontal="center" vertical="center"/>
      <protection hidden="1"/>
    </xf>
    <xf numFmtId="1" fontId="63" fillId="22" borderId="138" xfId="0" applyNumberFormat="1" applyFont="1" applyFill="1" applyBorder="1" applyAlignment="1" applyProtection="1">
      <alignment horizontal="center" vertical="center" wrapText="1"/>
      <protection hidden="1"/>
    </xf>
    <xf numFmtId="0" fontId="62" fillId="22" borderId="92" xfId="0" applyFont="1" applyFill="1" applyBorder="1" applyAlignment="1" applyProtection="1">
      <alignment horizontal="center" vertical="center"/>
      <protection hidden="1"/>
    </xf>
    <xf numFmtId="170" fontId="62" fillId="22" borderId="139" xfId="0" applyNumberFormat="1" applyFont="1" applyFill="1" applyBorder="1" applyAlignment="1" applyProtection="1">
      <alignment horizontal="center" vertical="center"/>
      <protection hidden="1"/>
    </xf>
    <xf numFmtId="1" fontId="62" fillId="22" borderId="140" xfId="0" applyNumberFormat="1" applyFont="1" applyFill="1" applyBorder="1" applyAlignment="1" applyProtection="1">
      <alignment horizontal="center" vertical="center"/>
      <protection hidden="1"/>
    </xf>
    <xf numFmtId="1" fontId="62" fillId="22" borderId="13" xfId="0" applyNumberFormat="1" applyFont="1" applyFill="1" applyBorder="1" applyAlignment="1" applyProtection="1">
      <alignment horizontal="center" vertical="center"/>
      <protection hidden="1"/>
    </xf>
    <xf numFmtId="1" fontId="58" fillId="22" borderId="141" xfId="0" applyNumberFormat="1" applyFont="1" applyFill="1" applyBorder="1" applyAlignment="1" applyProtection="1">
      <alignment horizontal="center" vertical="center"/>
      <protection hidden="1"/>
    </xf>
    <xf numFmtId="1" fontId="62" fillId="22" borderId="142" xfId="0" applyNumberFormat="1" applyFont="1" applyFill="1" applyBorder="1" applyAlignment="1" applyProtection="1">
      <alignment horizontal="center" vertical="center"/>
      <protection hidden="1"/>
    </xf>
    <xf numFmtId="1" fontId="62" fillId="22" borderId="143" xfId="0" applyNumberFormat="1" applyFont="1" applyFill="1" applyBorder="1" applyAlignment="1" applyProtection="1">
      <alignment horizontal="center" vertical="center"/>
      <protection hidden="1"/>
    </xf>
    <xf numFmtId="1" fontId="62" fillId="22" borderId="108" xfId="0" applyNumberFormat="1" applyFont="1" applyFill="1" applyBorder="1" applyAlignment="1" applyProtection="1">
      <alignment horizontal="center" vertical="center"/>
      <protection hidden="1"/>
    </xf>
    <xf numFmtId="1" fontId="58" fillId="22" borderId="109" xfId="0" applyNumberFormat="1" applyFont="1" applyFill="1" applyBorder="1" applyAlignment="1" applyProtection="1">
      <alignment horizontal="center" vertical="center"/>
      <protection hidden="1"/>
    </xf>
    <xf numFmtId="1" fontId="62" fillId="22" borderId="144" xfId="0" applyNumberFormat="1" applyFont="1" applyFill="1" applyBorder="1" applyAlignment="1" applyProtection="1">
      <alignment horizontal="center" vertical="center"/>
      <protection hidden="1"/>
    </xf>
    <xf numFmtId="1" fontId="58" fillId="22" borderId="145" xfId="0" applyNumberFormat="1" applyFont="1" applyFill="1" applyBorder="1" applyAlignment="1" applyProtection="1">
      <alignment horizontal="center" vertical="center"/>
      <protection hidden="1"/>
    </xf>
    <xf numFmtId="1" fontId="62" fillId="22" borderId="95" xfId="0" applyNumberFormat="1" applyFont="1" applyFill="1" applyBorder="1" applyAlignment="1" applyProtection="1">
      <alignment horizontal="center" vertical="center"/>
      <protection hidden="1"/>
    </xf>
    <xf numFmtId="1" fontId="62" fillId="22" borderId="146" xfId="0" applyNumberFormat="1" applyFont="1" applyFill="1" applyBorder="1" applyAlignment="1" applyProtection="1">
      <alignment horizontal="center" vertical="center"/>
      <protection hidden="1"/>
    </xf>
    <xf numFmtId="1" fontId="58" fillId="22" borderId="147" xfId="0" applyNumberFormat="1" applyFont="1" applyFill="1" applyBorder="1" applyAlignment="1" applyProtection="1">
      <alignment horizontal="center" vertical="center"/>
      <protection hidden="1"/>
    </xf>
    <xf numFmtId="1" fontId="58" fillId="22" borderId="111" xfId="0" applyNumberFormat="1" applyFont="1" applyFill="1" applyBorder="1" applyAlignment="1" applyProtection="1">
      <alignment horizontal="center" vertical="center"/>
      <protection hidden="1"/>
    </xf>
    <xf numFmtId="1" fontId="58" fillId="22" borderId="148" xfId="0" applyNumberFormat="1" applyFont="1" applyFill="1" applyBorder="1" applyAlignment="1" applyProtection="1">
      <alignment horizontal="center" vertical="center"/>
      <protection hidden="1"/>
    </xf>
    <xf numFmtId="1" fontId="59" fillId="22" borderId="149" xfId="0" applyNumberFormat="1" applyFont="1" applyFill="1" applyBorder="1" applyAlignment="1" applyProtection="1">
      <alignment horizontal="center" vertical="center"/>
      <protection hidden="1"/>
    </xf>
    <xf numFmtId="1" fontId="63" fillId="22" borderId="150" xfId="0" applyNumberFormat="1" applyFont="1" applyFill="1" applyBorder="1" applyAlignment="1" applyProtection="1">
      <alignment horizontal="center" vertical="center" wrapText="1"/>
      <protection hidden="1"/>
    </xf>
    <xf numFmtId="1" fontId="62" fillId="22" borderId="119" xfId="0" applyNumberFormat="1" applyFont="1" applyFill="1" applyBorder="1" applyAlignment="1" applyProtection="1">
      <alignment horizontal="center" vertical="center"/>
      <protection hidden="1"/>
    </xf>
    <xf numFmtId="1" fontId="62" fillId="22" borderId="118" xfId="0" applyNumberFormat="1" applyFont="1" applyFill="1" applyBorder="1" applyAlignment="1" applyProtection="1">
      <alignment horizontal="center" vertical="center"/>
      <protection hidden="1"/>
    </xf>
    <xf numFmtId="1" fontId="58" fillId="22" borderId="151" xfId="0" applyNumberFormat="1" applyFont="1" applyFill="1" applyBorder="1" applyAlignment="1" applyProtection="1">
      <alignment horizontal="center" vertical="center"/>
      <protection hidden="1"/>
    </xf>
    <xf numFmtId="1" fontId="62" fillId="22" borderId="85" xfId="0" applyNumberFormat="1" applyFont="1" applyFill="1" applyBorder="1" applyAlignment="1" applyProtection="1">
      <alignment horizontal="center" vertical="center"/>
      <protection hidden="1"/>
    </xf>
    <xf numFmtId="1" fontId="62" fillId="22" borderId="152" xfId="0" applyNumberFormat="1" applyFont="1" applyFill="1" applyBorder="1" applyAlignment="1" applyProtection="1">
      <alignment horizontal="center" vertical="center"/>
      <protection hidden="1"/>
    </xf>
    <xf numFmtId="1" fontId="58" fillId="22" borderId="121" xfId="0" applyNumberFormat="1" applyFont="1" applyFill="1" applyBorder="1" applyAlignment="1" applyProtection="1">
      <alignment horizontal="center" vertical="center"/>
      <protection hidden="1"/>
    </xf>
    <xf numFmtId="1" fontId="58" fillId="22" borderId="153" xfId="0" applyNumberFormat="1" applyFont="1" applyFill="1" applyBorder="1" applyAlignment="1" applyProtection="1">
      <alignment horizontal="center" vertical="center"/>
      <protection hidden="1"/>
    </xf>
    <xf numFmtId="1" fontId="58" fillId="22" borderId="154" xfId="0" applyNumberFormat="1" applyFont="1" applyFill="1" applyBorder="1" applyAlignment="1" applyProtection="1">
      <alignment horizontal="center" vertical="center"/>
      <protection hidden="1"/>
    </xf>
    <xf numFmtId="1" fontId="58" fillId="22" borderId="155" xfId="0" applyNumberFormat="1" applyFont="1" applyFill="1" applyBorder="1" applyAlignment="1" applyProtection="1">
      <alignment horizontal="center" vertical="center"/>
      <protection hidden="1"/>
    </xf>
    <xf numFmtId="1" fontId="59" fillId="22" borderId="156" xfId="0" applyNumberFormat="1" applyFont="1" applyFill="1" applyBorder="1" applyAlignment="1" applyProtection="1">
      <alignment horizontal="center" vertical="center"/>
      <protection hidden="1"/>
    </xf>
    <xf numFmtId="0" fontId="62" fillId="22" borderId="85" xfId="0" applyFont="1" applyFill="1" applyBorder="1" applyAlignment="1" applyProtection="1">
      <alignment horizontal="center" vertical="center"/>
      <protection hidden="1"/>
    </xf>
    <xf numFmtId="0" fontId="62" fillId="22" borderId="157" xfId="0" applyFont="1" applyFill="1" applyBorder="1" applyAlignment="1" applyProtection="1">
      <alignment horizontal="center" vertical="center"/>
      <protection hidden="1"/>
    </xf>
    <xf numFmtId="170" fontId="62" fillId="22" borderId="158" xfId="0" applyNumberFormat="1" applyFont="1" applyFill="1" applyBorder="1" applyAlignment="1" applyProtection="1">
      <alignment horizontal="center" vertical="center"/>
      <protection hidden="1"/>
    </xf>
    <xf numFmtId="1" fontId="58" fillId="22" borderId="120" xfId="0" applyNumberFormat="1" applyFont="1" applyFill="1" applyBorder="1" applyAlignment="1" applyProtection="1">
      <alignment horizontal="center" vertical="center"/>
      <protection hidden="1"/>
    </xf>
    <xf numFmtId="1" fontId="62" fillId="22" borderId="92" xfId="0" applyNumberFormat="1" applyFont="1" applyFill="1" applyBorder="1" applyAlignment="1" applyProtection="1">
      <alignment horizontal="center" vertical="center"/>
      <protection hidden="1"/>
    </xf>
    <xf numFmtId="1" fontId="58" fillId="22" borderId="122" xfId="0" applyNumberFormat="1" applyFont="1" applyFill="1" applyBorder="1" applyAlignment="1" applyProtection="1">
      <alignment horizontal="center" vertical="center"/>
      <protection hidden="1"/>
    </xf>
    <xf numFmtId="1" fontId="58" fillId="22" borderId="159" xfId="0" applyNumberFormat="1" applyFont="1" applyFill="1" applyBorder="1" applyAlignment="1" applyProtection="1">
      <alignment horizontal="center" vertical="center"/>
      <protection hidden="1"/>
    </xf>
    <xf numFmtId="1" fontId="63" fillId="22" borderId="77" xfId="0" applyNumberFormat="1" applyFont="1" applyFill="1" applyBorder="1" applyAlignment="1" applyProtection="1">
      <alignment horizontal="center" vertical="center" wrapText="1"/>
      <protection hidden="1"/>
    </xf>
    <xf numFmtId="49" fontId="64" fillId="13" borderId="194" xfId="0" applyNumberFormat="1" applyFont="1" applyFill="1" applyBorder="1" applyAlignment="1" applyProtection="1">
      <alignment horizontal="center" vertical="center"/>
      <protection hidden="1"/>
    </xf>
    <xf numFmtId="49" fontId="64" fillId="13" borderId="79" xfId="0" applyNumberFormat="1" applyFont="1" applyFill="1" applyBorder="1" applyAlignment="1" applyProtection="1">
      <alignment horizontal="center" vertical="center"/>
      <protection hidden="1"/>
    </xf>
    <xf numFmtId="1" fontId="65" fillId="13" borderId="195" xfId="0" applyNumberFormat="1" applyFont="1" applyFill="1" applyBorder="1" applyAlignment="1" applyProtection="1">
      <alignment horizontal="center" vertical="center" textRotation="90"/>
      <protection locked="0" hidden="1"/>
    </xf>
    <xf numFmtId="1" fontId="59" fillId="13" borderId="196" xfId="0" applyNumberFormat="1" applyFont="1" applyFill="1" applyBorder="1" applyAlignment="1" applyProtection="1">
      <alignment horizontal="center" vertical="center" textRotation="90"/>
      <protection locked="0" hidden="1"/>
    </xf>
    <xf numFmtId="1" fontId="65" fillId="13" borderId="197" xfId="0" applyNumberFormat="1" applyFont="1" applyFill="1" applyBorder="1" applyAlignment="1" applyProtection="1">
      <alignment horizontal="center" vertical="center" textRotation="90"/>
      <protection locked="0" hidden="1"/>
    </xf>
    <xf numFmtId="1" fontId="65" fillId="13" borderId="105" xfId="0" applyNumberFormat="1" applyFont="1" applyFill="1" applyBorder="1" applyAlignment="1" applyProtection="1">
      <alignment horizontal="center" vertical="center" textRotation="90"/>
      <protection locked="0" hidden="1"/>
    </xf>
    <xf numFmtId="1" fontId="59" fillId="13" borderId="105" xfId="0" applyNumberFormat="1" applyFont="1" applyFill="1" applyBorder="1" applyAlignment="1" applyProtection="1">
      <alignment horizontal="center" vertical="center" textRotation="90"/>
      <protection hidden="1"/>
    </xf>
    <xf numFmtId="1" fontId="59" fillId="13" borderId="198" xfId="0" applyNumberFormat="1" applyFont="1" applyFill="1" applyBorder="1" applyAlignment="1" applyProtection="1">
      <alignment horizontal="center" vertical="center" textRotation="90"/>
      <protection locked="0" hidden="1"/>
    </xf>
    <xf numFmtId="1" fontId="59" fillId="13" borderId="104" xfId="0" applyNumberFormat="1" applyFont="1" applyFill="1" applyBorder="1" applyAlignment="1" applyProtection="1">
      <alignment horizontal="center" vertical="center" textRotation="90"/>
      <protection locked="0" hidden="1"/>
    </xf>
    <xf numFmtId="1" fontId="59" fillId="13" borderId="199" xfId="0" applyNumberFormat="1" applyFont="1" applyFill="1" applyBorder="1" applyAlignment="1" applyProtection="1">
      <alignment horizontal="center" vertical="center" textRotation="90"/>
      <protection locked="0" hidden="1"/>
    </xf>
    <xf numFmtId="1" fontId="59" fillId="18" borderId="80" xfId="0" applyNumberFormat="1" applyFont="1" applyFill="1" applyBorder="1" applyAlignment="1" applyProtection="1">
      <alignment horizontal="center" vertical="center" textRotation="90"/>
      <protection hidden="1"/>
    </xf>
    <xf numFmtId="0" fontId="1" fillId="2" borderId="200" xfId="0" applyFont="1" applyFill="1" applyBorder="1" applyAlignment="1" applyProtection="1">
      <alignment horizontal="center" vertical="center"/>
      <protection locked="0" hidden="1"/>
    </xf>
    <xf numFmtId="170" fontId="62" fillId="2" borderId="201" xfId="0" applyNumberFormat="1" applyFont="1" applyFill="1" applyBorder="1" applyAlignment="1" applyProtection="1">
      <alignment horizontal="center" vertical="center"/>
      <protection locked="0" hidden="1"/>
    </xf>
    <xf numFmtId="1" fontId="62" fillId="2" borderId="202" xfId="0" applyNumberFormat="1" applyFont="1" applyFill="1" applyBorder="1" applyAlignment="1" applyProtection="1">
      <alignment horizontal="center" vertical="center"/>
      <protection locked="0" hidden="1"/>
    </xf>
    <xf numFmtId="1" fontId="62" fillId="2" borderId="203" xfId="0" applyNumberFormat="1" applyFont="1" applyFill="1" applyBorder="1" applyAlignment="1" applyProtection="1">
      <alignment horizontal="center" vertical="center"/>
      <protection locked="0" hidden="1"/>
    </xf>
    <xf numFmtId="1" fontId="58" fillId="2" borderId="204" xfId="0" applyNumberFormat="1" applyFont="1" applyFill="1" applyBorder="1" applyAlignment="1" applyProtection="1">
      <alignment horizontal="center" vertical="center"/>
      <protection locked="0" hidden="1"/>
    </xf>
    <xf numFmtId="1" fontId="62" fillId="2" borderId="205" xfId="0" applyNumberFormat="1" applyFont="1" applyFill="1" applyBorder="1" applyAlignment="1" applyProtection="1">
      <alignment horizontal="center" vertical="center"/>
      <protection locked="0" hidden="1"/>
    </xf>
    <xf numFmtId="1" fontId="58" fillId="2" borderId="206" xfId="0" applyNumberFormat="1" applyFont="1" applyFill="1" applyBorder="1" applyAlignment="1" applyProtection="1">
      <alignment horizontal="center" vertical="center"/>
      <protection locked="0" hidden="1"/>
    </xf>
    <xf numFmtId="1" fontId="62" fillId="2" borderId="207" xfId="0" applyNumberFormat="1" applyFont="1" applyFill="1" applyBorder="1" applyAlignment="1" applyProtection="1">
      <alignment horizontal="center" vertical="center"/>
      <protection locked="0" hidden="1"/>
    </xf>
    <xf numFmtId="1" fontId="58" fillId="2" borderId="208" xfId="0" applyNumberFormat="1" applyFont="1" applyFill="1" applyBorder="1" applyAlignment="1" applyProtection="1">
      <alignment horizontal="center" vertical="center"/>
      <protection locked="0" hidden="1"/>
    </xf>
    <xf numFmtId="1" fontId="58" fillId="2" borderId="209" xfId="0" applyNumberFormat="1" applyFont="1" applyFill="1" applyBorder="1" applyAlignment="1" applyProtection="1">
      <alignment horizontal="center" vertical="center"/>
      <protection locked="0" hidden="1"/>
    </xf>
    <xf numFmtId="1" fontId="58" fillId="2" borderId="193" xfId="0" applyNumberFormat="1" applyFont="1" applyFill="1" applyBorder="1" applyAlignment="1" applyProtection="1">
      <alignment horizontal="center" vertical="center"/>
      <protection locked="0" hidden="1"/>
    </xf>
    <xf numFmtId="1" fontId="58" fillId="2" borderId="210" xfId="0" applyNumberFormat="1" applyFont="1" applyFill="1" applyBorder="1" applyAlignment="1" applyProtection="1">
      <alignment horizontal="center" vertical="center"/>
      <protection locked="0" hidden="1"/>
    </xf>
    <xf numFmtId="1" fontId="59" fillId="2" borderId="211" xfId="0" applyNumberFormat="1" applyFont="1" applyFill="1" applyBorder="1" applyAlignment="1" applyProtection="1">
      <alignment horizontal="center" vertical="center"/>
      <protection locked="0" hidden="1"/>
    </xf>
    <xf numFmtId="1" fontId="63" fillId="2" borderId="209" xfId="0" applyNumberFormat="1" applyFont="1" applyFill="1" applyBorder="1" applyAlignment="1" applyProtection="1">
      <alignment horizontal="center" vertical="center" wrapText="1"/>
      <protection locked="0" hidden="1"/>
    </xf>
    <xf numFmtId="0" fontId="101" fillId="0" borderId="102" xfId="0" applyFont="1" applyFill="1" applyBorder="1" applyAlignment="1" applyProtection="1">
      <alignment horizontal="center" vertical="center" wrapText="1"/>
      <protection locked="0" hidden="1"/>
    </xf>
  </cellXfs>
  <cellStyles count="3">
    <cellStyle name="Hyperlink" xfId="1"/>
    <cellStyle name="Normal" xfId="0" builtinId="0"/>
    <cellStyle name="Normal 2" xfId="2"/>
  </cellStyles>
  <dxfs count="13">
    <dxf>
      <font>
        <color rgb="FFFFFFFF"/>
      </font>
    </dxf>
    <dxf>
      <font>
        <color rgb="FFFFFFFF"/>
      </font>
    </dxf>
    <dxf>
      <font>
        <color rgb="FFFFFFFF"/>
      </font>
    </dxf>
    <dxf>
      <font>
        <color rgb="FFFFFFFF"/>
      </font>
    </dxf>
    <dxf>
      <font>
        <color rgb="FFFFFFFF"/>
      </font>
    </dxf>
    <dxf>
      <fill>
        <patternFill>
          <bgColor rgb="FFFFFF00"/>
        </patternFill>
      </fill>
    </dxf>
    <dxf>
      <font>
        <color rgb="FFFFFFFF"/>
      </font>
    </dxf>
    <dxf>
      <fill>
        <patternFill>
          <bgColor rgb="FFFFFF00"/>
        </patternFill>
      </fill>
    </dxf>
    <dxf>
      <font>
        <color rgb="FFFBD4B4"/>
      </font>
      <fill>
        <patternFill>
          <bgColor rgb="FFFBD4B4"/>
        </patternFill>
      </fill>
    </dxf>
    <dxf>
      <fill>
        <patternFill>
          <bgColor rgb="FFFF0000"/>
        </patternFill>
      </fill>
    </dxf>
    <dxf>
      <font>
        <color rgb="FFFFFFFF"/>
      </font>
      <fill>
        <patternFill>
          <bgColor rgb="FFFF0000"/>
        </patternFill>
      </fill>
    </dxf>
    <dxf>
      <font>
        <color rgb="FFFFFFFF"/>
      </font>
    </dxf>
    <dxf>
      <font>
        <color rgb="FFFBD4B4"/>
      </font>
      <fill>
        <patternFill>
          <bgColor rgb="FFFBD4B4"/>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19</xdr:col>
      <xdr:colOff>29709</xdr:colOff>
      <xdr:row>2</xdr:row>
      <xdr:rowOff>24482</xdr:rowOff>
    </xdr:from>
    <xdr:to>
      <xdr:col>22</xdr:col>
      <xdr:colOff>598570</xdr:colOff>
      <xdr:row>3</xdr:row>
      <xdr:rowOff>658415</xdr:rowOff>
    </xdr:to>
    <xdr:pic>
      <xdr:nvPicPr>
        <xdr:cNvPr id="2" name="Picture 1" descr="IMG_20220427_183058_453.jpg"/>
        <xdr:cNvPicPr/>
      </xdr:nvPicPr>
      <xdr:blipFill>
        <a:blip xmlns:r="http://schemas.openxmlformats.org/officeDocument/2006/relationships" r:embed="rId1"/>
        <a:srcRect/>
        <a:stretch>
          <a:fillRect/>
        </a:stretch>
      </xdr:blipFill>
      <xdr:spPr>
        <a:xfrm>
          <a:off x="9326654" y="361951"/>
          <a:ext cx="1646145" cy="1524000"/>
        </a:xfrm>
        <a:prstGeom prst="rect">
          <a:avLst/>
        </a:prstGeom>
        <a:noFill/>
        <a:ln w="9525" cap="flat" cmpd="sng">
          <a:noFill/>
          <a:prstDash val="solid"/>
          <a:miter/>
        </a:ln>
        <a:effectLst>
          <a:reflection stA="30000" endPos="30000" fadeDir="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youtu.be/LpGWzKq-kSY?si=EEbPtrIQ4Snp0kL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7030A0"/>
  </sheetPr>
  <dimension ref="A1:ED58"/>
  <sheetViews>
    <sheetView showGridLines="0" tabSelected="1" workbookViewId="0">
      <selection activeCell="X7" sqref="X7:X8"/>
    </sheetView>
  </sheetViews>
  <sheetFormatPr defaultColWidth="0" defaultRowHeight="0" customHeight="1" zeroHeight="1"/>
  <cols>
    <col min="1" max="1" width="1" style="1" customWidth="1"/>
    <col min="2" max="2" width="5.42578125" style="2" customWidth="1"/>
    <col min="3" max="3" width="19.140625" style="1" customWidth="1"/>
    <col min="4" max="4" width="20" style="1" customWidth="1"/>
    <col min="5" max="5" width="13.28515625" style="1" customWidth="1"/>
    <col min="6" max="6" width="13.140625" style="1" customWidth="1"/>
    <col min="7" max="7" width="9.85546875" style="1" customWidth="1"/>
    <col min="8" max="8" width="6.85546875" style="1" customWidth="1"/>
    <col min="9" max="9" width="11.5703125" style="1" hidden="1" customWidth="1"/>
    <col min="10" max="10" width="13.5703125" style="1" hidden="1" customWidth="1"/>
    <col min="11" max="14" width="11.5703125" style="1" hidden="1" customWidth="1"/>
    <col min="15" max="15" width="14.5703125" style="1" customWidth="1"/>
    <col min="16" max="16" width="14" style="1" customWidth="1"/>
    <col min="17" max="17" width="11.140625" style="1" customWidth="1"/>
    <col min="18" max="18" width="8.42578125" style="1" hidden="1" customWidth="1"/>
    <col min="19" max="19" width="6.7109375" style="1" customWidth="1"/>
    <col min="20" max="20" width="5.85546875" style="1" customWidth="1"/>
    <col min="21" max="21" width="4.42578125" style="1" customWidth="1"/>
    <col min="22" max="22" width="5.85546875" style="1" customWidth="1"/>
    <col min="23" max="23" width="10.140625" style="1" customWidth="1"/>
    <col min="24" max="24" width="8.7109375" style="1" hidden="1" customWidth="1"/>
    <col min="25" max="25" width="16.42578125" style="1" customWidth="1"/>
    <col min="26" max="26" width="2.85546875" style="1" customWidth="1"/>
    <col min="27" max="29" width="11.5703125" style="3" hidden="1" customWidth="1"/>
    <col min="30" max="30" width="8.5703125" style="1" hidden="1" customWidth="1"/>
    <col min="31" max="33" width="12.28515625" style="1" hidden="1" customWidth="1"/>
    <col min="34" max="34" width="8.5703125" style="1" hidden="1" customWidth="1"/>
    <col min="35" max="36" width="12.28515625" style="1" hidden="1" customWidth="1"/>
    <col min="37" max="48" width="12.28515625" style="4" hidden="1" customWidth="1"/>
    <col min="49" max="49" width="8.5703125" style="4" hidden="1" customWidth="1"/>
    <col min="50" max="50" width="13.28515625" style="4" hidden="1" customWidth="1"/>
    <col min="51" max="52" width="12.140625" style="4" hidden="1" customWidth="1"/>
    <col min="53" max="53" width="12.140625" style="1" hidden="1" customWidth="1"/>
    <col min="54" max="54" width="4.140625" style="1" hidden="1" customWidth="1"/>
    <col min="55" max="76" width="6.140625" style="1" hidden="1" customWidth="1"/>
    <col min="77" max="94" width="7.140625" style="1" hidden="1" customWidth="1"/>
    <col min="95" max="16384" width="11.5703125" style="1" hidden="1"/>
  </cols>
  <sheetData>
    <row r="1" spans="1:134" ht="10.5" customHeight="1">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row>
    <row r="2" spans="1:134" ht="10.5" hidden="1" customHeight="1">
      <c r="A2" s="242"/>
      <c r="B2" s="242"/>
      <c r="C2" s="242"/>
      <c r="D2" s="242"/>
      <c r="E2" s="242"/>
      <c r="F2" s="242"/>
      <c r="G2" s="242"/>
      <c r="H2" s="242"/>
      <c r="I2" s="242"/>
      <c r="J2" s="242"/>
      <c r="K2" s="242"/>
      <c r="L2" s="242"/>
      <c r="M2" s="242"/>
      <c r="N2" s="242"/>
      <c r="O2" s="242"/>
      <c r="P2" s="242"/>
      <c r="Q2" s="242"/>
      <c r="R2" s="242"/>
      <c r="S2" s="242"/>
      <c r="T2" s="242"/>
      <c r="U2" s="242"/>
      <c r="V2" s="242"/>
      <c r="W2" s="242"/>
      <c r="X2" s="242"/>
      <c r="Y2" s="242"/>
      <c r="Z2" s="242"/>
    </row>
    <row r="3" spans="1:134" ht="70.5" customHeight="1">
      <c r="A3" s="242"/>
      <c r="B3" s="223" t="s">
        <v>83</v>
      </c>
      <c r="C3" s="224"/>
      <c r="D3" s="355" t="s">
        <v>140</v>
      </c>
      <c r="E3" s="356"/>
      <c r="F3" s="356"/>
      <c r="G3" s="356"/>
      <c r="H3" s="357"/>
      <c r="I3" s="366" t="s">
        <v>138</v>
      </c>
      <c r="J3" s="367"/>
      <c r="K3" s="367"/>
      <c r="L3" s="367"/>
      <c r="M3" s="367"/>
      <c r="N3" s="367"/>
      <c r="O3" s="367"/>
      <c r="P3" s="367"/>
      <c r="Q3" s="367"/>
      <c r="R3" s="367"/>
      <c r="S3" s="368"/>
      <c r="T3" s="373"/>
      <c r="U3" s="374"/>
      <c r="V3" s="374"/>
      <c r="W3" s="292" t="s">
        <v>146</v>
      </c>
      <c r="X3" s="292"/>
      <c r="Y3" s="295" t="s">
        <v>145</v>
      </c>
      <c r="Z3" s="242"/>
      <c r="AE3" s="5">
        <v>45017</v>
      </c>
    </row>
    <row r="4" spans="1:134" ht="59.25" customHeight="1">
      <c r="A4" s="242"/>
      <c r="B4" s="289" t="s">
        <v>144</v>
      </c>
      <c r="C4" s="289"/>
      <c r="D4" s="289"/>
      <c r="E4" s="277" t="s">
        <v>142</v>
      </c>
      <c r="F4" s="277"/>
      <c r="G4" s="277"/>
      <c r="H4" s="278"/>
      <c r="I4" s="369"/>
      <c r="J4" s="370"/>
      <c r="K4" s="370"/>
      <c r="L4" s="370"/>
      <c r="M4" s="370"/>
      <c r="N4" s="370"/>
      <c r="O4" s="370"/>
      <c r="P4" s="370"/>
      <c r="Q4" s="370"/>
      <c r="R4" s="370"/>
      <c r="S4" s="371"/>
      <c r="T4" s="375"/>
      <c r="U4" s="376"/>
      <c r="V4" s="376"/>
      <c r="W4" s="293"/>
      <c r="X4" s="293"/>
      <c r="Y4" s="296"/>
      <c r="Z4" s="242"/>
      <c r="AK4" s="6"/>
      <c r="AL4" s="6">
        <v>41821</v>
      </c>
      <c r="AM4" s="6">
        <v>42186</v>
      </c>
      <c r="AN4" s="6">
        <v>42552</v>
      </c>
      <c r="AO4" s="6">
        <v>42917</v>
      </c>
      <c r="AP4" s="6">
        <v>43282</v>
      </c>
      <c r="AQ4" s="6">
        <v>43647</v>
      </c>
      <c r="AR4" s="6">
        <v>44013</v>
      </c>
      <c r="AS4" s="6">
        <v>44378</v>
      </c>
      <c r="AT4" s="6">
        <v>44743</v>
      </c>
      <c r="AU4" s="6">
        <v>45108</v>
      </c>
      <c r="AV4" s="7"/>
    </row>
    <row r="5" spans="1:134" s="8" customFormat="1" ht="50.25" customHeight="1">
      <c r="A5" s="242"/>
      <c r="B5" s="364" t="s">
        <v>91</v>
      </c>
      <c r="C5" s="350" t="s">
        <v>30</v>
      </c>
      <c r="D5" s="338" t="s">
        <v>38</v>
      </c>
      <c r="E5" s="353" t="s">
        <v>111</v>
      </c>
      <c r="F5" s="358" t="s">
        <v>112</v>
      </c>
      <c r="G5" s="351" t="s">
        <v>113</v>
      </c>
      <c r="H5" s="352"/>
      <c r="I5" s="348" t="s">
        <v>102</v>
      </c>
      <c r="J5" s="300" t="s">
        <v>134</v>
      </c>
      <c r="K5" s="300"/>
      <c r="L5" s="301"/>
      <c r="M5" s="9"/>
      <c r="N5" s="9"/>
      <c r="O5" s="299" t="s">
        <v>96</v>
      </c>
      <c r="P5" s="300"/>
      <c r="Q5" s="300"/>
      <c r="R5" s="300"/>
      <c r="S5" s="301"/>
      <c r="T5" s="319" t="s">
        <v>86</v>
      </c>
      <c r="U5" s="320"/>
      <c r="V5" s="321"/>
      <c r="W5" s="322" t="s">
        <v>92</v>
      </c>
      <c r="X5" s="248" t="s">
        <v>87</v>
      </c>
      <c r="Y5" s="290" t="s">
        <v>147</v>
      </c>
      <c r="Z5" s="242"/>
      <c r="AA5" s="10"/>
      <c r="AB5" s="10"/>
      <c r="AC5" s="10"/>
      <c r="AD5" s="245" t="s">
        <v>93</v>
      </c>
      <c r="AE5" s="247"/>
      <c r="AF5" s="11"/>
      <c r="AG5" s="11"/>
      <c r="AH5" s="245" t="s">
        <v>94</v>
      </c>
      <c r="AI5" s="246"/>
      <c r="AJ5" s="334"/>
      <c r="AK5" s="334"/>
      <c r="AL5" s="334"/>
      <c r="AM5" s="334"/>
      <c r="AN5" s="334"/>
      <c r="AO5" s="334"/>
      <c r="AP5" s="334"/>
      <c r="AQ5" s="334"/>
      <c r="AR5" s="334"/>
      <c r="AS5" s="334"/>
      <c r="AT5" s="334"/>
      <c r="AU5" s="335"/>
      <c r="AV5" s="12"/>
      <c r="AW5" s="245" t="s">
        <v>95</v>
      </c>
      <c r="AX5" s="246"/>
      <c r="AY5" s="246"/>
      <c r="AZ5" s="246"/>
      <c r="BA5" s="247"/>
    </row>
    <row r="6" spans="1:134" s="13" customFormat="1" ht="53.25" customHeight="1">
      <c r="A6" s="242"/>
      <c r="B6" s="365"/>
      <c r="C6" s="323"/>
      <c r="D6" s="339"/>
      <c r="E6" s="354"/>
      <c r="F6" s="359"/>
      <c r="G6" s="14" t="s">
        <v>20</v>
      </c>
      <c r="H6" s="15" t="s">
        <v>85</v>
      </c>
      <c r="I6" s="349"/>
      <c r="J6" s="16" t="s">
        <v>90</v>
      </c>
      <c r="K6" s="16" t="s">
        <v>20</v>
      </c>
      <c r="L6" s="17" t="s">
        <v>85</v>
      </c>
      <c r="M6" s="18"/>
      <c r="N6" s="18"/>
      <c r="O6" s="19" t="s">
        <v>88</v>
      </c>
      <c r="P6" s="20" t="s">
        <v>97</v>
      </c>
      <c r="Q6" s="21" t="s">
        <v>20</v>
      </c>
      <c r="R6" s="22"/>
      <c r="S6" s="15" t="s">
        <v>85</v>
      </c>
      <c r="T6" s="23" t="s">
        <v>90</v>
      </c>
      <c r="U6" s="24" t="s">
        <v>89</v>
      </c>
      <c r="V6" s="25" t="s">
        <v>90</v>
      </c>
      <c r="W6" s="323"/>
      <c r="X6" s="249"/>
      <c r="Y6" s="291"/>
      <c r="Z6" s="242"/>
      <c r="AA6" s="26"/>
      <c r="AB6" s="26"/>
      <c r="AC6" s="26"/>
      <c r="AD6" s="27" t="s">
        <v>56</v>
      </c>
      <c r="AE6" s="27" t="s">
        <v>20</v>
      </c>
      <c r="AF6" s="27"/>
      <c r="AG6" s="27"/>
      <c r="AH6" s="27" t="s">
        <v>56</v>
      </c>
      <c r="AI6" s="27"/>
      <c r="AJ6" s="28" t="s">
        <v>135</v>
      </c>
      <c r="AK6" s="29" t="s">
        <v>123</v>
      </c>
      <c r="AL6" s="30" t="s">
        <v>124</v>
      </c>
      <c r="AM6" s="30" t="s">
        <v>125</v>
      </c>
      <c r="AN6" s="30" t="s">
        <v>126</v>
      </c>
      <c r="AO6" s="30" t="s">
        <v>127</v>
      </c>
      <c r="AP6" s="30" t="s">
        <v>128</v>
      </c>
      <c r="AQ6" s="30" t="s">
        <v>129</v>
      </c>
      <c r="AR6" s="30" t="s">
        <v>130</v>
      </c>
      <c r="AS6" s="30" t="s">
        <v>131</v>
      </c>
      <c r="AT6" s="30" t="s">
        <v>132</v>
      </c>
      <c r="AU6" s="30" t="s">
        <v>133</v>
      </c>
      <c r="AV6" s="30"/>
      <c r="AW6" s="27" t="s">
        <v>56</v>
      </c>
      <c r="AX6" s="27"/>
      <c r="AY6" s="31" t="s">
        <v>136</v>
      </c>
      <c r="AZ6" s="31"/>
      <c r="BA6" s="32" t="s">
        <v>137</v>
      </c>
    </row>
    <row r="7" spans="1:134" ht="37.9" customHeight="1">
      <c r="A7" s="242"/>
      <c r="B7" s="287">
        <v>1</v>
      </c>
      <c r="C7" s="285" t="s">
        <v>98</v>
      </c>
      <c r="D7" s="329" t="s">
        <v>122</v>
      </c>
      <c r="E7" s="304">
        <v>27</v>
      </c>
      <c r="F7" s="311">
        <v>44743</v>
      </c>
      <c r="G7" s="231">
        <v>65000</v>
      </c>
      <c r="H7" s="229">
        <v>12</v>
      </c>
      <c r="I7" s="259">
        <f>IF(F7="","",IF(F7&gt;$AE$3,F7,$AE$3))</f>
        <v>45017</v>
      </c>
      <c r="J7" s="33">
        <f t="shared" ref="J7:J19" si="0">I7</f>
        <v>45017</v>
      </c>
      <c r="K7" s="34">
        <f>IF(F7="","",AX7)</f>
        <v>69200</v>
      </c>
      <c r="L7" s="35">
        <f>IF(J7="","",AH7)</f>
        <v>13</v>
      </c>
      <c r="M7" s="36">
        <f>IF(MAX(J7:J8)=J7,"",K7)</f>
        <v>69200</v>
      </c>
      <c r="N7" s="283">
        <f>IF(M7="",K7,MAX(M7:M8))</f>
        <v>69200</v>
      </c>
      <c r="O7" s="269">
        <f>IF(H7="","",IF(OR(H7&gt;12,H7&lt;12),"MACP not being defined",I7))</f>
        <v>45017</v>
      </c>
      <c r="P7" s="37">
        <f>IF(O7="MACP not being defined","------",IF(F7="","",O7))</f>
        <v>45017</v>
      </c>
      <c r="Q7" s="38">
        <f>IF(O7="MACP not being defined","------",IF(F7="","",MAX(BA7:BA8)))</f>
        <v>71100</v>
      </c>
      <c r="R7" s="263">
        <f>Q7</f>
        <v>71100</v>
      </c>
      <c r="S7" s="39">
        <f>IF(O7="MACP not being defined","------",IF(F7="","",AW7))</f>
        <v>14</v>
      </c>
      <c r="T7" s="313">
        <f>IF(O7="MACP not being defined","------",IF(F7="","",O7))</f>
        <v>45017</v>
      </c>
      <c r="U7" s="302" t="str">
        <f>IF(O7="MACP Not Applicable","------",IF(F7="","",IF(T7="","","To")))</f>
        <v>To</v>
      </c>
      <c r="V7" s="250">
        <v>45230</v>
      </c>
      <c r="W7" s="281">
        <v>8000</v>
      </c>
      <c r="X7" s="316">
        <v>0.05</v>
      </c>
      <c r="Y7" s="243"/>
      <c r="Z7" s="242"/>
      <c r="AB7" s="40"/>
      <c r="AD7" s="233">
        <f>IF(C7="","",H7)</f>
        <v>12</v>
      </c>
      <c r="AE7" s="235">
        <f>IF(C7="","",G7)</f>
        <v>65000</v>
      </c>
      <c r="AF7" s="235">
        <f>IF(C7="","",ROUND(AE7*1.03,-2))</f>
        <v>67000</v>
      </c>
      <c r="AG7" s="235">
        <f>IF(D7="","",ROUND(AF7*1.03,-2))</f>
        <v>69000</v>
      </c>
      <c r="AH7" s="233">
        <f>IF(C7="","",AD7+1)</f>
        <v>13</v>
      </c>
      <c r="AI7" s="235">
        <f>IFERROR(LOOKUP($AF7,$BC7:$CP7),"")</f>
        <v>65200</v>
      </c>
      <c r="AJ7" s="275">
        <f>IF(F7="","",F7)</f>
        <v>44743</v>
      </c>
      <c r="AK7" s="235">
        <f>IF(C7="","",IF(AF7=AI7,AI7,ROUND(AI7*1.03,-2)))</f>
        <v>67200</v>
      </c>
      <c r="AL7" s="235" t="str">
        <f>IF(AL$4&lt;$AJ7,"",ROUND(MAX($AK7)*1.03,-2))</f>
        <v/>
      </c>
      <c r="AM7" s="235" t="str">
        <f>IF(AM$4&lt;$AJ7,"",ROUND(MAX($AK7:AL7)*1.03,-2))</f>
        <v/>
      </c>
      <c r="AN7" s="235" t="str">
        <f>IF(AN$4&lt;$AJ7,"",ROUND(MAX($AK7:AM7)*1.03,-2))</f>
        <v/>
      </c>
      <c r="AO7" s="235" t="str">
        <f>IF(AO$4&lt;$AJ7,"",ROUND(MAX($AK7:AN7)*1.03,-2))</f>
        <v/>
      </c>
      <c r="AP7" s="235" t="str">
        <f>IF(AP$4&lt;$AJ7,"",ROUND(MAX($AK7:AO7)*1.03,-2))</f>
        <v/>
      </c>
      <c r="AQ7" s="235" t="str">
        <f>IF(AQ$4&lt;$AJ7,"",ROUND(MAX($AK7:AP7)*1.03,-2))</f>
        <v/>
      </c>
      <c r="AR7" s="235" t="str">
        <f>IF(AR$4&lt;$AJ7,"",ROUND(MAX($AK7:AQ7)*1.03,-2))</f>
        <v/>
      </c>
      <c r="AS7" s="235" t="str">
        <f>IF(AS$4&lt;$AJ7,"",ROUND(MAX($AK7:AR7)*1.03,-2))</f>
        <v/>
      </c>
      <c r="AT7" s="235">
        <f>IF(AT$4&lt;$AJ7,"",ROUND(MAX($AK7:AS7)*1.03,-2))</f>
        <v>69200</v>
      </c>
      <c r="AU7" s="235">
        <f>IF(AU$4&lt;$AJ7,"",ROUND(MAX($AK7:AT7)*1.03,-2))</f>
        <v>71300</v>
      </c>
      <c r="AV7" s="235">
        <f>IF(AT7="",AK7,IF(AT7&gt;0,AT7))</f>
        <v>69200</v>
      </c>
      <c r="AW7" s="233">
        <f>IF(C7="","",AD7+2)</f>
        <v>14</v>
      </c>
      <c r="AX7" s="235">
        <f>AV7</f>
        <v>69200</v>
      </c>
      <c r="AY7" s="235">
        <f>IFERROR(LOOKUP($AX7,$CQ7:$ED7),"")</f>
        <v>69000</v>
      </c>
      <c r="AZ7" s="235">
        <f>IF(AJ7="","",IF(ROUND(AY7*1.03,-2)&gt;AU7,AY7,ROUND(AY7*1.03,-2)))</f>
        <v>71100</v>
      </c>
      <c r="BA7" s="41">
        <f>AZ7</f>
        <v>71100</v>
      </c>
      <c r="BC7" s="227">
        <f>IFERROR(VLOOKUP($AH7,Sheet1!$E$3:$AT$26,COLUMN(Sheet1!C$2),0),"")</f>
        <v>53100</v>
      </c>
      <c r="BD7" s="227">
        <f>IFERROR(VLOOKUP($AH7,Sheet1!$E$3:$AT$26,COLUMN(Sheet1!D$2),0),"")</f>
        <v>54700</v>
      </c>
      <c r="BE7" s="227">
        <f>IFERROR(VLOOKUP($AH7,Sheet1!$E$3:$AT$26,COLUMN(Sheet1!E$2),0),"")</f>
        <v>56300</v>
      </c>
      <c r="BF7" s="227">
        <f>IFERROR(VLOOKUP($AH7,Sheet1!$E$3:$AT$26,COLUMN(Sheet1!F$2),0),"")</f>
        <v>58000</v>
      </c>
      <c r="BG7" s="227">
        <f>IFERROR(VLOOKUP($AH7,Sheet1!$E$3:$AT$26,COLUMN(Sheet1!G$2),0),"")</f>
        <v>59700</v>
      </c>
      <c r="BH7" s="227">
        <f>IFERROR(VLOOKUP($AH7,Sheet1!$E$3:$AT$26,COLUMN(Sheet1!H$2),0),"")</f>
        <v>61500</v>
      </c>
      <c r="BI7" s="227">
        <f>IFERROR(VLOOKUP($AH7,Sheet1!$E$3:$AT$26,COLUMN(Sheet1!I$2),0),"")</f>
        <v>63300</v>
      </c>
      <c r="BJ7" s="227">
        <f>IFERROR(VLOOKUP($AH7,Sheet1!$E$3:$AT$26,COLUMN(Sheet1!J$2),0),"")</f>
        <v>65200</v>
      </c>
      <c r="BK7" s="227">
        <f>IFERROR(VLOOKUP($AH7,Sheet1!$E$3:$AT$26,COLUMN(Sheet1!K$2),0),"")</f>
        <v>67200</v>
      </c>
      <c r="BL7" s="227">
        <f>IFERROR(VLOOKUP($AH7,Sheet1!$E$3:$AT$26,COLUMN(Sheet1!L$2),0),"")</f>
        <v>69200</v>
      </c>
      <c r="BM7" s="227">
        <f>IFERROR(VLOOKUP($AH7,Sheet1!$E$3:$AT$26,COLUMN(Sheet1!M$2),0),"")</f>
        <v>71300</v>
      </c>
      <c r="BN7" s="227">
        <f>IFERROR(VLOOKUP($AH7,Sheet1!$E$3:$AT$26,COLUMN(Sheet1!N$2),0),"")</f>
        <v>73400</v>
      </c>
      <c r="BO7" s="227">
        <f>IFERROR(VLOOKUP($AH7,Sheet1!$E$3:$AT$26,COLUMN(Sheet1!O$2),0),"")</f>
        <v>75600</v>
      </c>
      <c r="BP7" s="227">
        <f>IFERROR(VLOOKUP($AH7,Sheet1!$E$3:$AT$26,COLUMN(Sheet1!P$2),0),"")</f>
        <v>77900</v>
      </c>
      <c r="BQ7" s="227">
        <f>IFERROR(VLOOKUP($AH7,Sheet1!$E$3:$AT$26,COLUMN(Sheet1!Q$2),0),"")</f>
        <v>80200</v>
      </c>
      <c r="BR7" s="227">
        <f>IFERROR(VLOOKUP($AH7,Sheet1!$E$3:$AT$26,COLUMN(Sheet1!R$2),0),"")</f>
        <v>82600</v>
      </c>
      <c r="BS7" s="227">
        <f>IFERROR(VLOOKUP($AH7,Sheet1!$E$3:$AT$26,COLUMN(Sheet1!S$2),0),"")</f>
        <v>85100</v>
      </c>
      <c r="BT7" s="227">
        <f>IFERROR(VLOOKUP($AH7,Sheet1!$E$3:$AT$26,COLUMN(Sheet1!T$2),0),"")</f>
        <v>87700</v>
      </c>
      <c r="BU7" s="227">
        <f>IFERROR(VLOOKUP($AH7,Sheet1!$E$3:$AT$26,COLUMN(Sheet1!U$2),0),"")</f>
        <v>90300</v>
      </c>
      <c r="BV7" s="227">
        <f>IFERROR(VLOOKUP($AH7,Sheet1!$E$3:$AT$26,COLUMN(Sheet1!V$2),0),"")</f>
        <v>93000</v>
      </c>
      <c r="BW7" s="227">
        <f>IFERROR(VLOOKUP($AH7,Sheet1!$E$3:$AT$26,COLUMN(Sheet1!W$2),0),"")</f>
        <v>95800</v>
      </c>
      <c r="BX7" s="227">
        <f>IFERROR(VLOOKUP($AH7,Sheet1!$E$3:$AT$26,COLUMN(Sheet1!X$2),0),"")</f>
        <v>98700</v>
      </c>
      <c r="BY7" s="227">
        <f>IFERROR(VLOOKUP($AH7,Sheet1!$E$3:$AT$26,COLUMN(Sheet1!Y$2),0),"")</f>
        <v>101700</v>
      </c>
      <c r="BZ7" s="227">
        <f>IFERROR(VLOOKUP($AH7,Sheet1!$E$3:$AT$26,COLUMN(Sheet1!Z$2),0),"")</f>
        <v>104800</v>
      </c>
      <c r="CA7" s="227">
        <f>IFERROR(VLOOKUP($AH7,Sheet1!$E$3:$AT$26,COLUMN(Sheet1!AA$2),0),"")</f>
        <v>107900</v>
      </c>
      <c r="CB7" s="227">
        <f>IFERROR(VLOOKUP($AH7,Sheet1!$E$3:$AT$26,COLUMN(Sheet1!AB$2),0),"")</f>
        <v>111100</v>
      </c>
      <c r="CC7" s="227">
        <f>IFERROR(VLOOKUP($AH7,Sheet1!$E$3:$AT$26,COLUMN(Sheet1!AC$2),0),"")</f>
        <v>114400</v>
      </c>
      <c r="CD7" s="227">
        <f>IFERROR(VLOOKUP($AH7,Sheet1!$E$3:$AT$26,COLUMN(Sheet1!AD$2),0),"")</f>
        <v>117800</v>
      </c>
      <c r="CE7" s="227">
        <f>IFERROR(VLOOKUP($AH7,Sheet1!$E$3:$AT$26,COLUMN(Sheet1!AE$2),0),"")</f>
        <v>121300</v>
      </c>
      <c r="CF7" s="227">
        <f>IFERROR(VLOOKUP($AH7,Sheet1!$E$3:$AT$26,COLUMN(Sheet1!AF$2),0),"")</f>
        <v>124900</v>
      </c>
      <c r="CG7" s="227">
        <f>IFERROR(VLOOKUP($AH7,Sheet1!$E$3:$AT$26,COLUMN(Sheet1!AG$2),0),"")</f>
        <v>128600</v>
      </c>
      <c r="CH7" s="227">
        <f>IFERROR(VLOOKUP($AH7,Sheet1!$E$3:$AT$26,COLUMN(Sheet1!AH$2),0),"")</f>
        <v>132500</v>
      </c>
      <c r="CI7" s="227">
        <f>IFERROR(VLOOKUP($AH7,Sheet1!$E$3:$AT$26,COLUMN(Sheet1!AI$2),0),"")</f>
        <v>136500</v>
      </c>
      <c r="CJ7" s="227">
        <f>IFERROR(VLOOKUP($AH7,Sheet1!$E$3:$AT$26,COLUMN(Sheet1!AJ$2),0),"")</f>
        <v>140600</v>
      </c>
      <c r="CK7" s="227">
        <f>IFERROR(VLOOKUP($AH7,Sheet1!$E$3:$AT$26,COLUMN(Sheet1!AK$2),0),"")</f>
        <v>144800</v>
      </c>
      <c r="CL7" s="227">
        <f>IFERROR(VLOOKUP($AH7,Sheet1!$E$3:$AT$26,COLUMN(Sheet1!AL$2),0),"")</f>
        <v>149100</v>
      </c>
      <c r="CM7" s="227">
        <f>IFERROR(VLOOKUP($AH7,Sheet1!$E$3:$AT$26,COLUMN(Sheet1!AM$2),0),"")</f>
        <v>153600</v>
      </c>
      <c r="CN7" s="227">
        <f>IFERROR(VLOOKUP($AH7,Sheet1!$E$3:$AT$26,COLUMN(Sheet1!AN$2),0),"")</f>
        <v>158200</v>
      </c>
      <c r="CO7" s="227">
        <f>IFERROR(VLOOKUP($AH7,Sheet1!$E$3:$AT$26,COLUMN(Sheet1!AO$2),0),"")</f>
        <v>162900</v>
      </c>
      <c r="CP7" s="227">
        <f>IFERROR(VLOOKUP($AH7,Sheet1!$E$3:$AT$26,COLUMN(Sheet1!AP$2),0),"")</f>
        <v>167800</v>
      </c>
      <c r="CQ7" s="239">
        <f>IFERROR(VLOOKUP($AW7,Sheet1!$E$3:$AT$26,COLUMN(Sheet1!C$2),0),"")</f>
        <v>56100</v>
      </c>
      <c r="CR7" s="239">
        <f>IFERROR(VLOOKUP($AW7,Sheet1!$E$3:$AT$26,COLUMN(Sheet1!D$2),0),"")</f>
        <v>57800</v>
      </c>
      <c r="CS7" s="239">
        <f>IFERROR(VLOOKUP($AW7,Sheet1!$E$3:$AT$26,COLUMN(Sheet1!E$2),0),"")</f>
        <v>59500</v>
      </c>
      <c r="CT7" s="239">
        <f>IFERROR(VLOOKUP($AW7,Sheet1!$E$3:$AT$26,COLUMN(Sheet1!F$2),0),"")</f>
        <v>61300</v>
      </c>
      <c r="CU7" s="239">
        <f>IFERROR(VLOOKUP($AW7,Sheet1!$E$3:$AT$26,COLUMN(Sheet1!G$2),0),"")</f>
        <v>63100</v>
      </c>
      <c r="CV7" s="239">
        <f>IFERROR(VLOOKUP($AW7,Sheet1!$E$3:$AT$26,COLUMN(Sheet1!H$2),0),"")</f>
        <v>65000</v>
      </c>
      <c r="CW7" s="239">
        <f>IFERROR(VLOOKUP($AW7,Sheet1!$E$3:$AT$26,COLUMN(Sheet1!I$2),0),"")</f>
        <v>67000</v>
      </c>
      <c r="CX7" s="239">
        <f>IFERROR(VLOOKUP($AW7,Sheet1!$E$3:$AT$26,COLUMN(Sheet1!J$2),0),"")</f>
        <v>69000</v>
      </c>
      <c r="CY7" s="239">
        <f>IFERROR(VLOOKUP($AW7,Sheet1!$E$3:$AT$26,COLUMN(Sheet1!K$2),0),"")</f>
        <v>71100</v>
      </c>
      <c r="CZ7" s="239">
        <f>IFERROR(VLOOKUP($AW7,Sheet1!$E$3:$AT$26,COLUMN(Sheet1!L$2),0),"")</f>
        <v>73200</v>
      </c>
      <c r="DA7" s="239">
        <f>IFERROR(VLOOKUP($AW7,Sheet1!$E$3:$AT$26,COLUMN(Sheet1!M$2),0),"")</f>
        <v>75400</v>
      </c>
      <c r="DB7" s="239">
        <f>IFERROR(VLOOKUP($AW7,Sheet1!$E$3:$AT$26,COLUMN(Sheet1!N$2),0),"")</f>
        <v>77700</v>
      </c>
      <c r="DC7" s="239">
        <f>IFERROR(VLOOKUP($AW7,Sheet1!$E$3:$AT$26,COLUMN(Sheet1!O$2),0),"")</f>
        <v>80000</v>
      </c>
      <c r="DD7" s="239">
        <f>IFERROR(VLOOKUP($AW7,Sheet1!$E$3:$AT$26,COLUMN(Sheet1!P$2),0),"")</f>
        <v>82400</v>
      </c>
      <c r="DE7" s="239">
        <f>IFERROR(VLOOKUP($AW7,Sheet1!$E$3:$AT$26,COLUMN(Sheet1!Q$2),0),"")</f>
        <v>84900</v>
      </c>
      <c r="DF7" s="239">
        <f>IFERROR(VLOOKUP($AW7,Sheet1!$E$3:$AT$26,COLUMN(Sheet1!R$2),0),"")</f>
        <v>87400</v>
      </c>
      <c r="DG7" s="239">
        <f>IFERROR(VLOOKUP($AW7,Sheet1!$E$3:$AT$26,COLUMN(Sheet1!S$2),0),"")</f>
        <v>90000</v>
      </c>
      <c r="DH7" s="239">
        <f>IFERROR(VLOOKUP($AW7,Sheet1!$E$3:$AT$26,COLUMN(Sheet1!T$2),0),"")</f>
        <v>92700</v>
      </c>
      <c r="DI7" s="239">
        <f>IFERROR(VLOOKUP($AW7,Sheet1!$E$3:$AT$26,COLUMN(Sheet1!U$2),0),"")</f>
        <v>95500</v>
      </c>
      <c r="DJ7" s="239">
        <f>IFERROR(VLOOKUP($AW7,Sheet1!$E$3:$AT$26,COLUMN(Sheet1!V$2),0),"")</f>
        <v>98400</v>
      </c>
      <c r="DK7" s="239">
        <f>IFERROR(VLOOKUP($AW7,Sheet1!$E$3:$AT$26,COLUMN(Sheet1!W$2),0),"")</f>
        <v>101400</v>
      </c>
      <c r="DL7" s="239">
        <f>IFERROR(VLOOKUP($AW7,Sheet1!$E$3:$AT$26,COLUMN(Sheet1!X$2),0),"")</f>
        <v>104400</v>
      </c>
      <c r="DM7" s="239">
        <f>IFERROR(VLOOKUP($AW7,Sheet1!$E$3:$AT$26,COLUMN(Sheet1!Y$2),0),"")</f>
        <v>107500</v>
      </c>
      <c r="DN7" s="239">
        <f>IFERROR(VLOOKUP($AW7,Sheet1!$E$3:$AT$26,COLUMN(Sheet1!Z$2),0),"")</f>
        <v>110700</v>
      </c>
      <c r="DO7" s="239">
        <f>IFERROR(VLOOKUP($AW7,Sheet1!$E$3:$AT$26,COLUMN(Sheet1!AA$2),0),"")</f>
        <v>114000</v>
      </c>
      <c r="DP7" s="239">
        <f>IFERROR(VLOOKUP($AW7,Sheet1!$E$3:$AT$26,COLUMN(Sheet1!AB$2),0),"")</f>
        <v>117400</v>
      </c>
      <c r="DQ7" s="239">
        <f>IFERROR(VLOOKUP($AW7,Sheet1!$E$3:$AT$26,COLUMN(Sheet1!AC$2),0),"")</f>
        <v>120900</v>
      </c>
      <c r="DR7" s="239">
        <f>IFERROR(VLOOKUP($AW7,Sheet1!$E$3:$AT$26,COLUMN(Sheet1!AD$2),0),"")</f>
        <v>124500</v>
      </c>
      <c r="DS7" s="239">
        <f>IFERROR(VLOOKUP($AW7,Sheet1!$E$3:$AT$26,COLUMN(Sheet1!AE$2),0),"")</f>
        <v>128200</v>
      </c>
      <c r="DT7" s="239">
        <f>IFERROR(VLOOKUP($AW7,Sheet1!$E$3:$AT$26,COLUMN(Sheet1!AF$2),0),"")</f>
        <v>132000</v>
      </c>
      <c r="DU7" s="239">
        <f>IFERROR(VLOOKUP($AW7,Sheet1!$E$3:$AT$26,COLUMN(Sheet1!AG$2),0),"")</f>
        <v>136000</v>
      </c>
      <c r="DV7" s="239">
        <f>IFERROR(VLOOKUP($AW7,Sheet1!$E$3:$AT$26,COLUMN(Sheet1!AH$2),0),"")</f>
        <v>140100</v>
      </c>
      <c r="DW7" s="239">
        <f>IFERROR(VLOOKUP($AW7,Sheet1!$E$3:$AT$26,COLUMN(Sheet1!AI$2),0),"")</f>
        <v>144300</v>
      </c>
      <c r="DX7" s="239">
        <f>IFERROR(VLOOKUP($AW7,Sheet1!$E$3:$AT$26,COLUMN(Sheet1!AJ$2),0),"")</f>
        <v>148600</v>
      </c>
      <c r="DY7" s="239">
        <f>IFERROR(VLOOKUP($AW7,Sheet1!$E$3:$AT$26,COLUMN(Sheet1!AK$2),0),"")</f>
        <v>153100</v>
      </c>
      <c r="DZ7" s="239">
        <f>IFERROR(VLOOKUP($AW7,Sheet1!$E$3:$AT$26,COLUMN(Sheet1!AL$2),0),"")</f>
        <v>157700</v>
      </c>
      <c r="EA7" s="239">
        <f>IFERROR(VLOOKUP($AW7,Sheet1!$E$3:$AT$26,COLUMN(Sheet1!AM$2),0),"")</f>
        <v>162400</v>
      </c>
      <c r="EB7" s="239">
        <f>IFERROR(VLOOKUP($AW7,Sheet1!$E$3:$AT$26,COLUMN(Sheet1!AN$2),0),"")</f>
        <v>167300</v>
      </c>
      <c r="EC7" s="239">
        <f>IFERROR(VLOOKUP($AW7,Sheet1!$E$3:$AT$26,COLUMN(Sheet1!AO$2),0),"")</f>
        <v>172300</v>
      </c>
      <c r="ED7" s="239">
        <f>IFERROR(VLOOKUP($AW7,Sheet1!$E$3:$AT$26,COLUMN(Sheet1!AP$2),0),"")</f>
        <v>177500</v>
      </c>
    </row>
    <row r="8" spans="1:134" ht="39.950000000000003" customHeight="1">
      <c r="A8" s="242"/>
      <c r="B8" s="288"/>
      <c r="C8" s="286"/>
      <c r="D8" s="330"/>
      <c r="E8" s="340"/>
      <c r="F8" s="331"/>
      <c r="G8" s="232"/>
      <c r="H8" s="318"/>
      <c r="I8" s="328"/>
      <c r="J8" s="42">
        <f t="shared" ref="J8" si="1">IF($AU$4&gt;J7,$AU$4,"")</f>
        <v>45108</v>
      </c>
      <c r="K8" s="43">
        <f t="shared" ref="K8" si="2">IF(J8="","",ROUND(K7*1.03,-2))</f>
        <v>71300</v>
      </c>
      <c r="L8" s="44">
        <f>IF(J8="","",L7)</f>
        <v>13</v>
      </c>
      <c r="M8" s="45" t="str">
        <f>IF(MAX(J7:J8)=J8,"",K8)</f>
        <v/>
      </c>
      <c r="N8" s="284"/>
      <c r="O8" s="270"/>
      <c r="P8" s="46">
        <f>IF(O7="MACP not being defined","------",IF(F7="","",IF(P7&lt;$AU$4,$AU$4,"")))</f>
        <v>45108</v>
      </c>
      <c r="Q8" s="47">
        <f>IF(O7="MACP not being defined","------",IF(F7="","",IF(P8="","",ROUND(Q7*1.03,-2))))</f>
        <v>73200</v>
      </c>
      <c r="R8" s="264"/>
      <c r="S8" s="48">
        <f>IF(F7="","",IF(P8="","",S7))</f>
        <v>14</v>
      </c>
      <c r="T8" s="314"/>
      <c r="U8" s="303"/>
      <c r="V8" s="346"/>
      <c r="W8" s="282"/>
      <c r="X8" s="317"/>
      <c r="Y8" s="256"/>
      <c r="Z8" s="242"/>
      <c r="AB8" s="40"/>
      <c r="AD8" s="234"/>
      <c r="AE8" s="236"/>
      <c r="AF8" s="236"/>
      <c r="AG8" s="236"/>
      <c r="AH8" s="234"/>
      <c r="AI8" s="236"/>
      <c r="AJ8" s="276"/>
      <c r="AK8" s="236"/>
      <c r="AL8" s="241"/>
      <c r="AM8" s="241"/>
      <c r="AN8" s="241"/>
      <c r="AO8" s="241"/>
      <c r="AP8" s="241"/>
      <c r="AQ8" s="241"/>
      <c r="AR8" s="241"/>
      <c r="AS8" s="241"/>
      <c r="AT8" s="241"/>
      <c r="AU8" s="241"/>
      <c r="AV8" s="241"/>
      <c r="AW8" s="234"/>
      <c r="AX8" s="241"/>
      <c r="AY8" s="236"/>
      <c r="AZ8" s="241"/>
      <c r="BA8" s="49" t="str">
        <f>IF(F7="","",IF(AND(F7&lt;$AE$3,F7&lt;AB8),ROUND(MAX(BA7:BA7)*1.03,-2),""))</f>
        <v/>
      </c>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40"/>
      <c r="CR8" s="240"/>
      <c r="CS8" s="240"/>
      <c r="CT8" s="240"/>
      <c r="CU8" s="240"/>
      <c r="CV8" s="240"/>
      <c r="CW8" s="240"/>
      <c r="CX8" s="240"/>
      <c r="CY8" s="240"/>
      <c r="CZ8" s="240"/>
      <c r="DA8" s="240"/>
      <c r="DB8" s="240"/>
      <c r="DC8" s="240"/>
      <c r="DD8" s="240"/>
      <c r="DE8" s="240"/>
      <c r="DF8" s="240"/>
      <c r="DG8" s="240"/>
      <c r="DH8" s="240"/>
      <c r="DI8" s="240"/>
      <c r="DJ8" s="240"/>
      <c r="DK8" s="240"/>
      <c r="DL8" s="240"/>
      <c r="DM8" s="240"/>
      <c r="DN8" s="240"/>
      <c r="DO8" s="240"/>
      <c r="DP8" s="240"/>
      <c r="DQ8" s="240"/>
      <c r="DR8" s="240"/>
      <c r="DS8" s="240"/>
      <c r="DT8" s="240"/>
      <c r="DU8" s="240"/>
      <c r="DV8" s="240"/>
      <c r="DW8" s="240"/>
      <c r="DX8" s="240"/>
      <c r="DY8" s="240"/>
      <c r="DZ8" s="240"/>
      <c r="EA8" s="240"/>
      <c r="EB8" s="240"/>
      <c r="EC8" s="240"/>
      <c r="ED8" s="240"/>
    </row>
    <row r="9" spans="1:134" ht="30.75" customHeight="1">
      <c r="A9" s="242"/>
      <c r="B9" s="341">
        <v>2</v>
      </c>
      <c r="C9" s="271" t="s">
        <v>99</v>
      </c>
      <c r="D9" s="261" t="s">
        <v>40</v>
      </c>
      <c r="E9" s="279">
        <v>27</v>
      </c>
      <c r="F9" s="267">
        <v>44429</v>
      </c>
      <c r="G9" s="265">
        <v>65000</v>
      </c>
      <c r="H9" s="254">
        <v>12</v>
      </c>
      <c r="I9" s="336">
        <f t="shared" ref="I9" si="3">IF(F9="","",IF(F9&gt;$AE$3,F9,$AE$3))</f>
        <v>45017</v>
      </c>
      <c r="J9" s="33">
        <f t="shared" si="0"/>
        <v>45017</v>
      </c>
      <c r="K9" s="34">
        <f>IF(F9="","",AX9)</f>
        <v>69200</v>
      </c>
      <c r="L9" s="35">
        <f>IF(J9="","",AH9)</f>
        <v>13</v>
      </c>
      <c r="M9" s="36">
        <f>IF(MAX(J9:J10)=J9,"",K9)</f>
        <v>69200</v>
      </c>
      <c r="N9" s="283">
        <f>IF(M9="",K9,MAX(M9:M10))</f>
        <v>69200</v>
      </c>
      <c r="O9" s="326">
        <f t="shared" ref="O9" si="4">IF(H9="","",IF(OR(H9&gt;12,H9&lt;12),"MACP not being defined",I9))</f>
        <v>45017</v>
      </c>
      <c r="P9" s="50">
        <f t="shared" ref="P9" si="5">IF(O9="MACP not being defined","------",IF(F9="","",O9))</f>
        <v>45017</v>
      </c>
      <c r="Q9" s="51">
        <f>IF(O9="MACP not being defined","------",IF(F9="","",MAX(BA9:BA10)))</f>
        <v>71100</v>
      </c>
      <c r="R9" s="263">
        <f t="shared" ref="R9" si="6">Q9</f>
        <v>71100</v>
      </c>
      <c r="S9" s="52">
        <f>IF(O9="MACP not being defined","------",IF(F9="","",AW9))</f>
        <v>14</v>
      </c>
      <c r="T9" s="225">
        <f t="shared" ref="T9" si="7">IF(O9="MACP not being defined","------",IF(F9="","",O9))</f>
        <v>45017</v>
      </c>
      <c r="U9" s="252" t="str">
        <f t="shared" ref="U9" si="8">IF(O9="MACP Not Applicable","------",IF(F9="","",IF(T9="","","To")))</f>
        <v>To</v>
      </c>
      <c r="V9" s="237">
        <v>45322</v>
      </c>
      <c r="W9" s="297">
        <v>8000</v>
      </c>
      <c r="X9" s="324">
        <v>0.05</v>
      </c>
      <c r="Y9" s="257"/>
      <c r="Z9" s="242"/>
      <c r="AB9" s="40"/>
      <c r="AD9" s="233">
        <f>IF(C9="","",H9)</f>
        <v>12</v>
      </c>
      <c r="AE9" s="235">
        <f>IF(C9="","",G9)</f>
        <v>65000</v>
      </c>
      <c r="AF9" s="235">
        <f>IF(C9="","",ROUND(AE9*1.03,-2))</f>
        <v>67000</v>
      </c>
      <c r="AG9" s="235">
        <f>IF(D9="","",ROUND(AF9*1.03,-2))</f>
        <v>69000</v>
      </c>
      <c r="AH9" s="233">
        <f>IF(C9="","",AD9+1)</f>
        <v>13</v>
      </c>
      <c r="AI9" s="235">
        <f>IFERROR(LOOKUP($AF9,$BC9:$CP9),"")</f>
        <v>65200</v>
      </c>
      <c r="AJ9" s="275">
        <f t="shared" ref="AJ9" si="9">IF(F9="","",F9)</f>
        <v>44429</v>
      </c>
      <c r="AK9" s="235">
        <f>IF(C9="","",IF(AF9=AI9,AI9,ROUND(AI9*1.03,-2)))</f>
        <v>67200</v>
      </c>
      <c r="AL9" s="235" t="str">
        <f t="shared" ref="AL9" si="10">IF(AL$4&lt;$AJ9,"",ROUND(MAX($AK9)*1.03,-2))</f>
        <v/>
      </c>
      <c r="AM9" s="235" t="str">
        <f>IF(AM$4&lt;$AJ9,"",ROUND(MAX($AK9:AL9)*1.03,-2))</f>
        <v/>
      </c>
      <c r="AN9" s="235" t="str">
        <f>IF(AN$4&lt;$AJ9,"",ROUND(MAX($AK9:AM9)*1.03,-2))</f>
        <v/>
      </c>
      <c r="AO9" s="235" t="str">
        <f>IF(AO$4&lt;$AJ9,"",ROUND(MAX($AK9:AN9)*1.03,-2))</f>
        <v/>
      </c>
      <c r="AP9" s="235" t="str">
        <f>IF(AP$4&lt;$AJ9,"",ROUND(MAX($AK9:AO9)*1.03,-2))</f>
        <v/>
      </c>
      <c r="AQ9" s="235" t="str">
        <f>IF(AQ$4&lt;$AJ9,"",ROUND(MAX($AK9:AP9)*1.03,-2))</f>
        <v/>
      </c>
      <c r="AR9" s="235" t="str">
        <f>IF(AR$4&lt;$AJ9,"",ROUND(MAX($AK9:AQ9)*1.03,-2))</f>
        <v/>
      </c>
      <c r="AS9" s="235" t="str">
        <f>IF(AS$4&lt;$AJ9,"",ROUND(MAX($AK9:AR9)*1.03,-2))</f>
        <v/>
      </c>
      <c r="AT9" s="235">
        <f>IF(AT$4&lt;$AJ9,"",ROUND(MAX($AK9:AS9)*1.03,-2))</f>
        <v>69200</v>
      </c>
      <c r="AU9" s="235">
        <f>IF(AU$4&lt;$AJ9,"",ROUND(MAX($AK9:AT9)*1.03,-2))</f>
        <v>71300</v>
      </c>
      <c r="AV9" s="235">
        <f t="shared" ref="AV9" si="11">IF(AT9="",AK9,IF(AT9&gt;0,AT9))</f>
        <v>69200</v>
      </c>
      <c r="AW9" s="233">
        <f>IF(C9="","",AD9+2)</f>
        <v>14</v>
      </c>
      <c r="AX9" s="235">
        <f t="shared" ref="AX9" si="12">AV9</f>
        <v>69200</v>
      </c>
      <c r="AY9" s="235">
        <f t="shared" ref="AY9" si="13">IFERROR(LOOKUP($AX9,$CQ9:$ED9),"")</f>
        <v>69000</v>
      </c>
      <c r="AZ9" s="235">
        <f t="shared" ref="AZ9" si="14">IF(AJ9="","",IF(ROUND(AY9*1.03,-2)&gt;AU9,AY9,ROUND(AY9*1.03,-2)))</f>
        <v>71100</v>
      </c>
      <c r="BA9" s="41">
        <f>AZ9</f>
        <v>71100</v>
      </c>
      <c r="BC9" s="227">
        <f>IFERROR(VLOOKUP($AH9,Sheet1!$E$3:$AT$26,COLUMN(Sheet1!C$2),0),"")</f>
        <v>53100</v>
      </c>
      <c r="BD9" s="227">
        <f>IFERROR(VLOOKUP($AH9,Sheet1!$E$3:$AT$26,COLUMN(Sheet1!D$2),0),"")</f>
        <v>54700</v>
      </c>
      <c r="BE9" s="227">
        <f>IFERROR(VLOOKUP($AH9,Sheet1!$E$3:$AT$26,COLUMN(Sheet1!E$2),0),"")</f>
        <v>56300</v>
      </c>
      <c r="BF9" s="227">
        <f>IFERROR(VLOOKUP($AH9,Sheet1!$E$3:$AT$26,COLUMN(Sheet1!F$2),0),"")</f>
        <v>58000</v>
      </c>
      <c r="BG9" s="227">
        <f>IFERROR(VLOOKUP($AH9,Sheet1!$E$3:$AT$26,COLUMN(Sheet1!G$2),0),"")</f>
        <v>59700</v>
      </c>
      <c r="BH9" s="227">
        <f>IFERROR(VLOOKUP($AH9,Sheet1!$E$3:$AT$26,COLUMN(Sheet1!H$2),0),"")</f>
        <v>61500</v>
      </c>
      <c r="BI9" s="227">
        <f>IFERROR(VLOOKUP($AH9,Sheet1!$E$3:$AT$26,COLUMN(Sheet1!I$2),0),"")</f>
        <v>63300</v>
      </c>
      <c r="BJ9" s="227">
        <f>IFERROR(VLOOKUP($AH9,Sheet1!$E$3:$AT$26,COLUMN(Sheet1!J$2),0),"")</f>
        <v>65200</v>
      </c>
      <c r="BK9" s="227">
        <f>IFERROR(VLOOKUP($AH9,Sheet1!$E$3:$AT$26,COLUMN(Sheet1!K$2),0),"")</f>
        <v>67200</v>
      </c>
      <c r="BL9" s="227">
        <f>IFERROR(VLOOKUP($AH9,Sheet1!$E$3:$AT$26,COLUMN(Sheet1!L$2),0),"")</f>
        <v>69200</v>
      </c>
      <c r="BM9" s="227">
        <f>IFERROR(VLOOKUP($AH9,Sheet1!$E$3:$AT$26,COLUMN(Sheet1!M$2),0),"")</f>
        <v>71300</v>
      </c>
      <c r="BN9" s="227">
        <f>IFERROR(VLOOKUP($AH9,Sheet1!$E$3:$AT$26,COLUMN(Sheet1!N$2),0),"")</f>
        <v>73400</v>
      </c>
      <c r="BO9" s="227">
        <f>IFERROR(VLOOKUP($AH9,Sheet1!$E$3:$AT$26,COLUMN(Sheet1!O$2),0),"")</f>
        <v>75600</v>
      </c>
      <c r="BP9" s="227">
        <f>IFERROR(VLOOKUP($AH9,Sheet1!$E$3:$AT$26,COLUMN(Sheet1!P$2),0),"")</f>
        <v>77900</v>
      </c>
      <c r="BQ9" s="227">
        <f>IFERROR(VLOOKUP($AH9,Sheet1!$E$3:$AT$26,COLUMN(Sheet1!Q$2),0),"")</f>
        <v>80200</v>
      </c>
      <c r="BR9" s="227">
        <f>IFERROR(VLOOKUP($AH9,Sheet1!$E$3:$AT$26,COLUMN(Sheet1!R$2),0),"")</f>
        <v>82600</v>
      </c>
      <c r="BS9" s="227">
        <f>IFERROR(VLOOKUP($AH9,Sheet1!$E$3:$AT$26,COLUMN(Sheet1!S$2),0),"")</f>
        <v>85100</v>
      </c>
      <c r="BT9" s="227">
        <f>IFERROR(VLOOKUP($AH9,Sheet1!$E$3:$AT$26,COLUMN(Sheet1!T$2),0),"")</f>
        <v>87700</v>
      </c>
      <c r="BU9" s="227">
        <f>IFERROR(VLOOKUP($AH9,Sheet1!$E$3:$AT$26,COLUMN(Sheet1!U$2),0),"")</f>
        <v>90300</v>
      </c>
      <c r="BV9" s="227">
        <f>IFERROR(VLOOKUP($AH9,Sheet1!$E$3:$AT$26,COLUMN(Sheet1!V$2),0),"")</f>
        <v>93000</v>
      </c>
      <c r="BW9" s="227">
        <f>IFERROR(VLOOKUP($AH9,Sheet1!$E$3:$AT$26,COLUMN(Sheet1!W$2),0),"")</f>
        <v>95800</v>
      </c>
      <c r="BX9" s="227">
        <f>IFERROR(VLOOKUP($AH9,Sheet1!$E$3:$AT$26,COLUMN(Sheet1!X$2),0),"")</f>
        <v>98700</v>
      </c>
      <c r="BY9" s="227">
        <f>IFERROR(VLOOKUP($AH9,Sheet1!$E$3:$AT$26,COLUMN(Sheet1!Y$2),0),"")</f>
        <v>101700</v>
      </c>
      <c r="BZ9" s="227">
        <f>IFERROR(VLOOKUP($AH9,Sheet1!$E$3:$AT$26,COLUMN(Sheet1!Z$2),0),"")</f>
        <v>104800</v>
      </c>
      <c r="CA9" s="227">
        <f>IFERROR(VLOOKUP($AH9,Sheet1!$E$3:$AT$26,COLUMN(Sheet1!AA$2),0),"")</f>
        <v>107900</v>
      </c>
      <c r="CB9" s="227">
        <f>IFERROR(VLOOKUP($AH9,Sheet1!$E$3:$AT$26,COLUMN(Sheet1!AB$2),0),"")</f>
        <v>111100</v>
      </c>
      <c r="CC9" s="227">
        <f>IFERROR(VLOOKUP($AH9,Sheet1!$E$3:$AT$26,COLUMN(Sheet1!AC$2),0),"")</f>
        <v>114400</v>
      </c>
      <c r="CD9" s="227">
        <f>IFERROR(VLOOKUP($AH9,Sheet1!$E$3:$AT$26,COLUMN(Sheet1!AD$2),0),"")</f>
        <v>117800</v>
      </c>
      <c r="CE9" s="227">
        <f>IFERROR(VLOOKUP($AH9,Sheet1!$E$3:$AT$26,COLUMN(Sheet1!AE$2),0),"")</f>
        <v>121300</v>
      </c>
      <c r="CF9" s="227">
        <f>IFERROR(VLOOKUP($AH9,Sheet1!$E$3:$AT$26,COLUMN(Sheet1!AF$2),0),"")</f>
        <v>124900</v>
      </c>
      <c r="CG9" s="227">
        <f>IFERROR(VLOOKUP($AH9,Sheet1!$E$3:$AT$26,COLUMN(Sheet1!AG$2),0),"")</f>
        <v>128600</v>
      </c>
      <c r="CH9" s="227">
        <f>IFERROR(VLOOKUP($AH9,Sheet1!$E$3:$AT$26,COLUMN(Sheet1!AH$2),0),"")</f>
        <v>132500</v>
      </c>
      <c r="CI9" s="227">
        <f>IFERROR(VLOOKUP($AH9,Sheet1!$E$3:$AT$26,COLUMN(Sheet1!AI$2),0),"")</f>
        <v>136500</v>
      </c>
      <c r="CJ9" s="227">
        <f>IFERROR(VLOOKUP($AH9,Sheet1!$E$3:$AT$26,COLUMN(Sheet1!AJ$2),0),"")</f>
        <v>140600</v>
      </c>
      <c r="CK9" s="227">
        <f>IFERROR(VLOOKUP($AH9,Sheet1!$E$3:$AT$26,COLUMN(Sheet1!AK$2),0),"")</f>
        <v>144800</v>
      </c>
      <c r="CL9" s="227">
        <f>IFERROR(VLOOKUP($AH9,Sheet1!$E$3:$AT$26,COLUMN(Sheet1!AL$2),0),"")</f>
        <v>149100</v>
      </c>
      <c r="CM9" s="227">
        <f>IFERROR(VLOOKUP($AH9,Sheet1!$E$3:$AT$26,COLUMN(Sheet1!AM$2),0),"")</f>
        <v>153600</v>
      </c>
      <c r="CN9" s="227">
        <f>IFERROR(VLOOKUP($AH9,Sheet1!$E$3:$AT$26,COLUMN(Sheet1!AN$2),0),"")</f>
        <v>158200</v>
      </c>
      <c r="CO9" s="227">
        <f>IFERROR(VLOOKUP($AH9,Sheet1!$E$3:$AT$26,COLUMN(Sheet1!AO$2),0),"")</f>
        <v>162900</v>
      </c>
      <c r="CP9" s="227">
        <f>IFERROR(VLOOKUP($AH9,Sheet1!$E$3:$AT$26,COLUMN(Sheet1!AP$2),0),"")</f>
        <v>167800</v>
      </c>
      <c r="CQ9" s="239">
        <f>IFERROR(VLOOKUP($AW9,Sheet1!$E$3:$AT$26,COLUMN(Sheet1!C$2),0),"")</f>
        <v>56100</v>
      </c>
      <c r="CR9" s="239">
        <f>IFERROR(VLOOKUP($AW9,Sheet1!$E$3:$AT$26,COLUMN(Sheet1!D$2),0),"")</f>
        <v>57800</v>
      </c>
      <c r="CS9" s="239">
        <f>IFERROR(VLOOKUP($AW9,Sheet1!$E$3:$AT$26,COLUMN(Sheet1!E$2),0),"")</f>
        <v>59500</v>
      </c>
      <c r="CT9" s="239">
        <f>IFERROR(VLOOKUP($AW9,Sheet1!$E$3:$AT$26,COLUMN(Sheet1!F$2),0),"")</f>
        <v>61300</v>
      </c>
      <c r="CU9" s="239">
        <f>IFERROR(VLOOKUP($AW9,Sheet1!$E$3:$AT$26,COLUMN(Sheet1!G$2),0),"")</f>
        <v>63100</v>
      </c>
      <c r="CV9" s="239">
        <f>IFERROR(VLOOKUP($AW9,Sheet1!$E$3:$AT$26,COLUMN(Sheet1!H$2),0),"")</f>
        <v>65000</v>
      </c>
      <c r="CW9" s="239">
        <f>IFERROR(VLOOKUP($AW9,Sheet1!$E$3:$AT$26,COLUMN(Sheet1!I$2),0),"")</f>
        <v>67000</v>
      </c>
      <c r="CX9" s="239">
        <f>IFERROR(VLOOKUP($AW9,Sheet1!$E$3:$AT$26,COLUMN(Sheet1!J$2),0),"")</f>
        <v>69000</v>
      </c>
      <c r="CY9" s="239">
        <f>IFERROR(VLOOKUP($AW9,Sheet1!$E$3:$AT$26,COLUMN(Sheet1!K$2),0),"")</f>
        <v>71100</v>
      </c>
      <c r="CZ9" s="239">
        <f>IFERROR(VLOOKUP($AW9,Sheet1!$E$3:$AT$26,COLUMN(Sheet1!L$2),0),"")</f>
        <v>73200</v>
      </c>
      <c r="DA9" s="239">
        <f>IFERROR(VLOOKUP($AW9,Sheet1!$E$3:$AT$26,COLUMN(Sheet1!M$2),0),"")</f>
        <v>75400</v>
      </c>
      <c r="DB9" s="239">
        <f>IFERROR(VLOOKUP($AW9,Sheet1!$E$3:$AT$26,COLUMN(Sheet1!N$2),0),"")</f>
        <v>77700</v>
      </c>
      <c r="DC9" s="239">
        <f>IFERROR(VLOOKUP($AW9,Sheet1!$E$3:$AT$26,COLUMN(Sheet1!O$2),0),"")</f>
        <v>80000</v>
      </c>
      <c r="DD9" s="239">
        <f>IFERROR(VLOOKUP($AW9,Sheet1!$E$3:$AT$26,COLUMN(Sheet1!P$2),0),"")</f>
        <v>82400</v>
      </c>
      <c r="DE9" s="239">
        <f>IFERROR(VLOOKUP($AW9,Sheet1!$E$3:$AT$26,COLUMN(Sheet1!Q$2),0),"")</f>
        <v>84900</v>
      </c>
      <c r="DF9" s="239">
        <f>IFERROR(VLOOKUP($AW9,Sheet1!$E$3:$AT$26,COLUMN(Sheet1!R$2),0),"")</f>
        <v>87400</v>
      </c>
      <c r="DG9" s="239">
        <f>IFERROR(VLOOKUP($AW9,Sheet1!$E$3:$AT$26,COLUMN(Sheet1!S$2),0),"")</f>
        <v>90000</v>
      </c>
      <c r="DH9" s="239">
        <f>IFERROR(VLOOKUP($AW9,Sheet1!$E$3:$AT$26,COLUMN(Sheet1!T$2),0),"")</f>
        <v>92700</v>
      </c>
      <c r="DI9" s="239">
        <f>IFERROR(VLOOKUP($AW9,Sheet1!$E$3:$AT$26,COLUMN(Sheet1!U$2),0),"")</f>
        <v>95500</v>
      </c>
      <c r="DJ9" s="239">
        <f>IFERROR(VLOOKUP($AW9,Sheet1!$E$3:$AT$26,COLUMN(Sheet1!V$2),0),"")</f>
        <v>98400</v>
      </c>
      <c r="DK9" s="239">
        <f>IFERROR(VLOOKUP($AW9,Sheet1!$E$3:$AT$26,COLUMN(Sheet1!W$2),0),"")</f>
        <v>101400</v>
      </c>
      <c r="DL9" s="239">
        <f>IFERROR(VLOOKUP($AW9,Sheet1!$E$3:$AT$26,COLUMN(Sheet1!X$2),0),"")</f>
        <v>104400</v>
      </c>
      <c r="DM9" s="239">
        <f>IFERROR(VLOOKUP($AW9,Sheet1!$E$3:$AT$26,COLUMN(Sheet1!Y$2),0),"")</f>
        <v>107500</v>
      </c>
      <c r="DN9" s="239">
        <f>IFERROR(VLOOKUP($AW9,Sheet1!$E$3:$AT$26,COLUMN(Sheet1!Z$2),0),"")</f>
        <v>110700</v>
      </c>
      <c r="DO9" s="239">
        <f>IFERROR(VLOOKUP($AW9,Sheet1!$E$3:$AT$26,COLUMN(Sheet1!AA$2),0),"")</f>
        <v>114000</v>
      </c>
      <c r="DP9" s="239">
        <f>IFERROR(VLOOKUP($AW9,Sheet1!$E$3:$AT$26,COLUMN(Sheet1!AB$2),0),"")</f>
        <v>117400</v>
      </c>
      <c r="DQ9" s="239">
        <f>IFERROR(VLOOKUP($AW9,Sheet1!$E$3:$AT$26,COLUMN(Sheet1!AC$2),0),"")</f>
        <v>120900</v>
      </c>
      <c r="DR9" s="239">
        <f>IFERROR(VLOOKUP($AW9,Sheet1!$E$3:$AT$26,COLUMN(Sheet1!AD$2),0),"")</f>
        <v>124500</v>
      </c>
      <c r="DS9" s="239">
        <f>IFERROR(VLOOKUP($AW9,Sheet1!$E$3:$AT$26,COLUMN(Sheet1!AE$2),0),"")</f>
        <v>128200</v>
      </c>
      <c r="DT9" s="239">
        <f>IFERROR(VLOOKUP($AW9,Sheet1!$E$3:$AT$26,COLUMN(Sheet1!AF$2),0),"")</f>
        <v>132000</v>
      </c>
      <c r="DU9" s="239">
        <f>IFERROR(VLOOKUP($AW9,Sheet1!$E$3:$AT$26,COLUMN(Sheet1!AG$2),0),"")</f>
        <v>136000</v>
      </c>
      <c r="DV9" s="239">
        <f>IFERROR(VLOOKUP($AW9,Sheet1!$E$3:$AT$26,COLUMN(Sheet1!AH$2),0),"")</f>
        <v>140100</v>
      </c>
      <c r="DW9" s="239">
        <f>IFERROR(VLOOKUP($AW9,Sheet1!$E$3:$AT$26,COLUMN(Sheet1!AI$2),0),"")</f>
        <v>144300</v>
      </c>
      <c r="DX9" s="239">
        <f>IFERROR(VLOOKUP($AW9,Sheet1!$E$3:$AT$26,COLUMN(Sheet1!AJ$2),0),"")</f>
        <v>148600</v>
      </c>
      <c r="DY9" s="239">
        <f>IFERROR(VLOOKUP($AW9,Sheet1!$E$3:$AT$26,COLUMN(Sheet1!AK$2),0),"")</f>
        <v>153100</v>
      </c>
      <c r="DZ9" s="239">
        <f>IFERROR(VLOOKUP($AW9,Sheet1!$E$3:$AT$26,COLUMN(Sheet1!AL$2),0),"")</f>
        <v>157700</v>
      </c>
      <c r="EA9" s="239">
        <f>IFERROR(VLOOKUP($AW9,Sheet1!$E$3:$AT$26,COLUMN(Sheet1!AM$2),0),"")</f>
        <v>162400</v>
      </c>
      <c r="EB9" s="239">
        <f>IFERROR(VLOOKUP($AW9,Sheet1!$E$3:$AT$26,COLUMN(Sheet1!AN$2),0),"")</f>
        <v>167300</v>
      </c>
      <c r="EC9" s="239">
        <f>IFERROR(VLOOKUP($AW9,Sheet1!$E$3:$AT$26,COLUMN(Sheet1!AO$2),0),"")</f>
        <v>172300</v>
      </c>
      <c r="ED9" s="239">
        <f>IFERROR(VLOOKUP($AW9,Sheet1!$E$3:$AT$26,COLUMN(Sheet1!AP$2),0),"")</f>
        <v>177500</v>
      </c>
    </row>
    <row r="10" spans="1:134" ht="30.75" customHeight="1">
      <c r="A10" s="242"/>
      <c r="B10" s="341"/>
      <c r="C10" s="272"/>
      <c r="D10" s="262"/>
      <c r="E10" s="280"/>
      <c r="F10" s="268"/>
      <c r="G10" s="266"/>
      <c r="H10" s="255"/>
      <c r="I10" s="337"/>
      <c r="J10" s="42">
        <f t="shared" ref="J10" si="15">IF($AU$4&gt;J9,$AU$4,"")</f>
        <v>45108</v>
      </c>
      <c r="K10" s="43">
        <f t="shared" ref="K10" si="16">IF(J10="","",ROUND(K9*1.03,-2))</f>
        <v>71300</v>
      </c>
      <c r="L10" s="44">
        <f t="shared" ref="L10" si="17">IF(J10="","",L9)</f>
        <v>13</v>
      </c>
      <c r="M10" s="45" t="str">
        <f>IF(MAX(J9:J10)=J10,"",K10)</f>
        <v/>
      </c>
      <c r="N10" s="284"/>
      <c r="O10" s="327"/>
      <c r="P10" s="53">
        <f t="shared" ref="P10" si="18">IF(O9="MACP not being defined","------",IF(F9="","",IF(P9&lt;$AU$4,$AU$4,"")))</f>
        <v>45108</v>
      </c>
      <c r="Q10" s="54">
        <f t="shared" ref="Q10" si="19">IF(O9="MACP not being defined","------",IF(F9="","",IF(P10="","",ROUND(Q9*1.03,-2))))</f>
        <v>73200</v>
      </c>
      <c r="R10" s="264"/>
      <c r="S10" s="55">
        <f t="shared" ref="S10" si="20">IF(F9="","",IF(P10="","",S9))</f>
        <v>14</v>
      </c>
      <c r="T10" s="226"/>
      <c r="U10" s="253"/>
      <c r="V10" s="238"/>
      <c r="W10" s="298"/>
      <c r="X10" s="325"/>
      <c r="Y10" s="258"/>
      <c r="Z10" s="242"/>
      <c r="AB10" s="40"/>
      <c r="AD10" s="234"/>
      <c r="AE10" s="236"/>
      <c r="AF10" s="236"/>
      <c r="AG10" s="236"/>
      <c r="AH10" s="234"/>
      <c r="AI10" s="236"/>
      <c r="AJ10" s="276"/>
      <c r="AK10" s="236"/>
      <c r="AL10" s="241"/>
      <c r="AM10" s="241"/>
      <c r="AN10" s="241"/>
      <c r="AO10" s="241"/>
      <c r="AP10" s="241"/>
      <c r="AQ10" s="241"/>
      <c r="AR10" s="241"/>
      <c r="AS10" s="241"/>
      <c r="AT10" s="241"/>
      <c r="AU10" s="241"/>
      <c r="AV10" s="241"/>
      <c r="AW10" s="234"/>
      <c r="AX10" s="241"/>
      <c r="AY10" s="236"/>
      <c r="AZ10" s="241"/>
      <c r="BA10" s="49" t="str">
        <f>IF(F9="","",IF(AND(F9&lt;$AE$3,F9&lt;AB10),ROUND(MAX(BA9:BA9)*1.03,-2),""))</f>
        <v/>
      </c>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40"/>
      <c r="CR10" s="240"/>
      <c r="CS10" s="240"/>
      <c r="CT10" s="240"/>
      <c r="CU10" s="240"/>
      <c r="CV10" s="240"/>
      <c r="CW10" s="240"/>
      <c r="CX10" s="240"/>
      <c r="CY10" s="240"/>
      <c r="CZ10" s="240"/>
      <c r="DA10" s="240"/>
      <c r="DB10" s="240"/>
      <c r="DC10" s="240"/>
      <c r="DD10" s="240"/>
      <c r="DE10" s="240"/>
      <c r="DF10" s="240"/>
      <c r="DG10" s="240"/>
      <c r="DH10" s="240"/>
      <c r="DI10" s="240"/>
      <c r="DJ10" s="240"/>
      <c r="DK10" s="240"/>
      <c r="DL10" s="240"/>
      <c r="DM10" s="240"/>
      <c r="DN10" s="240"/>
      <c r="DO10" s="240"/>
      <c r="DP10" s="240"/>
      <c r="DQ10" s="240"/>
      <c r="DR10" s="240"/>
      <c r="DS10" s="240"/>
      <c r="DT10" s="240"/>
      <c r="DU10" s="240"/>
      <c r="DV10" s="240"/>
      <c r="DW10" s="240"/>
      <c r="DX10" s="240"/>
      <c r="DY10" s="240"/>
      <c r="DZ10" s="240"/>
      <c r="EA10" s="240"/>
      <c r="EB10" s="240"/>
      <c r="EC10" s="240"/>
      <c r="ED10" s="240"/>
    </row>
    <row r="11" spans="1:134" ht="30.75" customHeight="1">
      <c r="A11" s="242"/>
      <c r="B11" s="287">
        <v>3</v>
      </c>
      <c r="C11" s="285" t="s">
        <v>100</v>
      </c>
      <c r="D11" s="361" t="s">
        <v>40</v>
      </c>
      <c r="E11" s="307">
        <v>27</v>
      </c>
      <c r="F11" s="343">
        <v>45167</v>
      </c>
      <c r="G11" s="231">
        <v>67000</v>
      </c>
      <c r="H11" s="229">
        <v>12</v>
      </c>
      <c r="I11" s="273">
        <f t="shared" ref="I11" si="21">IF(F11="","",IF(F11&gt;$AE$3,F11,$AE$3))</f>
        <v>45167</v>
      </c>
      <c r="J11" s="33">
        <f t="shared" si="0"/>
        <v>45167</v>
      </c>
      <c r="K11" s="34">
        <f>IF(F11="","",AX11)</f>
        <v>69200</v>
      </c>
      <c r="L11" s="35">
        <f>IF(J11="","",AH11)</f>
        <v>13</v>
      </c>
      <c r="M11" s="36" t="str">
        <f>IF(MAX(J11:J12)=J11,"",K11)</f>
        <v/>
      </c>
      <c r="N11" s="283">
        <f>IF(M11="",K11,MAX(M11:M12))</f>
        <v>69200</v>
      </c>
      <c r="O11" s="269">
        <f t="shared" ref="O11" si="22">IF(H11="","",IF(OR(H11&gt;12,H11&lt;12),"MACP not being defined",I11))</f>
        <v>45167</v>
      </c>
      <c r="P11" s="37">
        <f t="shared" ref="P11" si="23">IF(O11="MACP not being defined","------",IF(F11="","",O11))</f>
        <v>45167</v>
      </c>
      <c r="Q11" s="38">
        <f>IF(O11="MACP not being defined","------",IF(F11="","",MAX(BA11:BA12)))</f>
        <v>71100</v>
      </c>
      <c r="R11" s="263">
        <f t="shared" ref="R11" si="24">Q11</f>
        <v>71100</v>
      </c>
      <c r="S11" s="39">
        <f>IF(O11="MACP not being defined","------",IF(F11="","",AW11))</f>
        <v>14</v>
      </c>
      <c r="T11" s="313">
        <f t="shared" ref="T11" si="25">IF(O11="MACP not being defined","------",IF(F11="","",O11))</f>
        <v>45167</v>
      </c>
      <c r="U11" s="302" t="str">
        <f t="shared" ref="U11" si="26">IF(O11="MACP Not Applicable","------",IF(F11="","",IF(T11="","","To")))</f>
        <v>To</v>
      </c>
      <c r="V11" s="250">
        <v>45291</v>
      </c>
      <c r="W11" s="281">
        <v>8000</v>
      </c>
      <c r="X11" s="316">
        <v>0.05</v>
      </c>
      <c r="Y11" s="243">
        <v>45228</v>
      </c>
      <c r="Z11" s="242"/>
      <c r="AB11" s="40"/>
      <c r="AD11" s="233">
        <f>IF(C11="","",H11)</f>
        <v>12</v>
      </c>
      <c r="AE11" s="235">
        <f>IF(C11="","",G11)</f>
        <v>67000</v>
      </c>
      <c r="AF11" s="235">
        <f>IF(C11="","",ROUND(AE11*1.03,-2))</f>
        <v>69000</v>
      </c>
      <c r="AG11" s="235">
        <f>IF(D11="","",ROUND(AF11*1.03,-2))</f>
        <v>71100</v>
      </c>
      <c r="AH11" s="233">
        <f>IF(C11="","",AD11+1)</f>
        <v>13</v>
      </c>
      <c r="AI11" s="235">
        <f>IFERROR(LOOKUP($AF11,$BC11:$CP11),"")</f>
        <v>67200</v>
      </c>
      <c r="AJ11" s="275">
        <f t="shared" ref="AJ11" si="27">IF(F11="","",F11)</f>
        <v>45167</v>
      </c>
      <c r="AK11" s="235">
        <f>IF(C11="","",IF(AF11=AI11,AI11,ROUND(AI11*1.03,-2)))</f>
        <v>69200</v>
      </c>
      <c r="AL11" s="235" t="str">
        <f t="shared" ref="AL11" si="28">IF(AL$4&lt;$AJ11,"",ROUND(MAX($AK11)*1.03,-2))</f>
        <v/>
      </c>
      <c r="AM11" s="235" t="str">
        <f>IF(AM$4&lt;$AJ11,"",ROUND(MAX($AK11:AL11)*1.03,-2))</f>
        <v/>
      </c>
      <c r="AN11" s="235" t="str">
        <f>IF(AN$4&lt;$AJ11,"",ROUND(MAX($AK11:AM11)*1.03,-2))</f>
        <v/>
      </c>
      <c r="AO11" s="235" t="str">
        <f>IF(AO$4&lt;$AJ11,"",ROUND(MAX($AK11:AN11)*1.03,-2))</f>
        <v/>
      </c>
      <c r="AP11" s="235" t="str">
        <f>IF(AP$4&lt;$AJ11,"",ROUND(MAX($AK11:AO11)*1.03,-2))</f>
        <v/>
      </c>
      <c r="AQ11" s="235" t="str">
        <f>IF(AQ$4&lt;$AJ11,"",ROUND(MAX($AK11:AP11)*1.03,-2))</f>
        <v/>
      </c>
      <c r="AR11" s="235" t="str">
        <f>IF(AR$4&lt;$AJ11,"",ROUND(MAX($AK11:AQ11)*1.03,-2))</f>
        <v/>
      </c>
      <c r="AS11" s="235" t="str">
        <f>IF(AS$4&lt;$AJ11,"",ROUND(MAX($AK11:AR11)*1.03,-2))</f>
        <v/>
      </c>
      <c r="AT11" s="235" t="str">
        <f>IF(AT$4&lt;$AJ11,"",ROUND(MAX($AK11:AS11)*1.03,-2))</f>
        <v/>
      </c>
      <c r="AU11" s="235" t="str">
        <f>IF(AU$4&lt;$AJ11,"",ROUND(MAX($AK11:AT11)*1.03,-2))</f>
        <v/>
      </c>
      <c r="AV11" s="235">
        <f t="shared" ref="AV11" si="29">IF(AT11="",AK11,IF(AT11&gt;0,AT11))</f>
        <v>69200</v>
      </c>
      <c r="AW11" s="233">
        <f>IF(C11="","",AD11+2)</f>
        <v>14</v>
      </c>
      <c r="AX11" s="235">
        <f t="shared" ref="AX11" si="30">AV11</f>
        <v>69200</v>
      </c>
      <c r="AY11" s="235">
        <f t="shared" ref="AY11" si="31">IFERROR(LOOKUP($AX11,$CQ11:$ED11),"")</f>
        <v>69000</v>
      </c>
      <c r="AZ11" s="235">
        <f t="shared" ref="AZ11" si="32">IF(AJ11="","",IF(ROUND(AY11*1.03,-2)&gt;AU11,AY11,ROUND(AY11*1.03,-2)))</f>
        <v>71100</v>
      </c>
      <c r="BA11" s="41">
        <f>AZ11</f>
        <v>71100</v>
      </c>
      <c r="BC11" s="227">
        <f>IFERROR(VLOOKUP($AH11,Sheet1!$E$3:$AT$26,COLUMN(Sheet1!C$2),0),"")</f>
        <v>53100</v>
      </c>
      <c r="BD11" s="227">
        <f>IFERROR(VLOOKUP($AH11,Sheet1!$E$3:$AT$26,COLUMN(Sheet1!D$2),0),"")</f>
        <v>54700</v>
      </c>
      <c r="BE11" s="227">
        <f>IFERROR(VLOOKUP($AH11,Sheet1!$E$3:$AT$26,COLUMN(Sheet1!E$2),0),"")</f>
        <v>56300</v>
      </c>
      <c r="BF11" s="227">
        <f>IFERROR(VLOOKUP($AH11,Sheet1!$E$3:$AT$26,COLUMN(Sheet1!F$2),0),"")</f>
        <v>58000</v>
      </c>
      <c r="BG11" s="227">
        <f>IFERROR(VLOOKUP($AH11,Sheet1!$E$3:$AT$26,COLUMN(Sheet1!G$2),0),"")</f>
        <v>59700</v>
      </c>
      <c r="BH11" s="227">
        <f>IFERROR(VLOOKUP($AH11,Sheet1!$E$3:$AT$26,COLUMN(Sheet1!H$2),0),"")</f>
        <v>61500</v>
      </c>
      <c r="BI11" s="227">
        <f>IFERROR(VLOOKUP($AH11,Sheet1!$E$3:$AT$26,COLUMN(Sheet1!I$2),0),"")</f>
        <v>63300</v>
      </c>
      <c r="BJ11" s="227">
        <f>IFERROR(VLOOKUP($AH11,Sheet1!$E$3:$AT$26,COLUMN(Sheet1!J$2),0),"")</f>
        <v>65200</v>
      </c>
      <c r="BK11" s="227">
        <f>IFERROR(VLOOKUP($AH11,Sheet1!$E$3:$AT$26,COLUMN(Sheet1!K$2),0),"")</f>
        <v>67200</v>
      </c>
      <c r="BL11" s="227">
        <f>IFERROR(VLOOKUP($AH11,Sheet1!$E$3:$AT$26,COLUMN(Sheet1!L$2),0),"")</f>
        <v>69200</v>
      </c>
      <c r="BM11" s="227">
        <f>IFERROR(VLOOKUP($AH11,Sheet1!$E$3:$AT$26,COLUMN(Sheet1!M$2),0),"")</f>
        <v>71300</v>
      </c>
      <c r="BN11" s="227">
        <f>IFERROR(VLOOKUP($AH11,Sheet1!$E$3:$AT$26,COLUMN(Sheet1!N$2),0),"")</f>
        <v>73400</v>
      </c>
      <c r="BO11" s="227">
        <f>IFERROR(VLOOKUP($AH11,Sheet1!$E$3:$AT$26,COLUMN(Sheet1!O$2),0),"")</f>
        <v>75600</v>
      </c>
      <c r="BP11" s="227">
        <f>IFERROR(VLOOKUP($AH11,Sheet1!$E$3:$AT$26,COLUMN(Sheet1!P$2),0),"")</f>
        <v>77900</v>
      </c>
      <c r="BQ11" s="227">
        <f>IFERROR(VLOOKUP($AH11,Sheet1!$E$3:$AT$26,COLUMN(Sheet1!Q$2),0),"")</f>
        <v>80200</v>
      </c>
      <c r="BR11" s="227">
        <f>IFERROR(VLOOKUP($AH11,Sheet1!$E$3:$AT$26,COLUMN(Sheet1!R$2),0),"")</f>
        <v>82600</v>
      </c>
      <c r="BS11" s="227">
        <f>IFERROR(VLOOKUP($AH11,Sheet1!$E$3:$AT$26,COLUMN(Sheet1!S$2),0),"")</f>
        <v>85100</v>
      </c>
      <c r="BT11" s="227">
        <f>IFERROR(VLOOKUP($AH11,Sheet1!$E$3:$AT$26,COLUMN(Sheet1!T$2),0),"")</f>
        <v>87700</v>
      </c>
      <c r="BU11" s="227">
        <f>IFERROR(VLOOKUP($AH11,Sheet1!$E$3:$AT$26,COLUMN(Sheet1!U$2),0),"")</f>
        <v>90300</v>
      </c>
      <c r="BV11" s="227">
        <f>IFERROR(VLOOKUP($AH11,Sheet1!$E$3:$AT$26,COLUMN(Sheet1!V$2),0),"")</f>
        <v>93000</v>
      </c>
      <c r="BW11" s="227">
        <f>IFERROR(VLOOKUP($AH11,Sheet1!$E$3:$AT$26,COLUMN(Sheet1!W$2),0),"")</f>
        <v>95800</v>
      </c>
      <c r="BX11" s="227">
        <f>IFERROR(VLOOKUP($AH11,Sheet1!$E$3:$AT$26,COLUMN(Sheet1!X$2),0),"")</f>
        <v>98700</v>
      </c>
      <c r="BY11" s="227">
        <f>IFERROR(VLOOKUP($AH11,Sheet1!$E$3:$AT$26,COLUMN(Sheet1!Y$2),0),"")</f>
        <v>101700</v>
      </c>
      <c r="BZ11" s="227">
        <f>IFERROR(VLOOKUP($AH11,Sheet1!$E$3:$AT$26,COLUMN(Sheet1!Z$2),0),"")</f>
        <v>104800</v>
      </c>
      <c r="CA11" s="227">
        <f>IFERROR(VLOOKUP($AH11,Sheet1!$E$3:$AT$26,COLUMN(Sheet1!AA$2),0),"")</f>
        <v>107900</v>
      </c>
      <c r="CB11" s="227">
        <f>IFERROR(VLOOKUP($AH11,Sheet1!$E$3:$AT$26,COLUMN(Sheet1!AB$2),0),"")</f>
        <v>111100</v>
      </c>
      <c r="CC11" s="227">
        <f>IFERROR(VLOOKUP($AH11,Sheet1!$E$3:$AT$26,COLUMN(Sheet1!AC$2),0),"")</f>
        <v>114400</v>
      </c>
      <c r="CD11" s="227">
        <f>IFERROR(VLOOKUP($AH11,Sheet1!$E$3:$AT$26,COLUMN(Sheet1!AD$2),0),"")</f>
        <v>117800</v>
      </c>
      <c r="CE11" s="227">
        <f>IFERROR(VLOOKUP($AH11,Sheet1!$E$3:$AT$26,COLUMN(Sheet1!AE$2),0),"")</f>
        <v>121300</v>
      </c>
      <c r="CF11" s="227">
        <f>IFERROR(VLOOKUP($AH11,Sheet1!$E$3:$AT$26,COLUMN(Sheet1!AF$2),0),"")</f>
        <v>124900</v>
      </c>
      <c r="CG11" s="227">
        <f>IFERROR(VLOOKUP($AH11,Sheet1!$E$3:$AT$26,COLUMN(Sheet1!AG$2),0),"")</f>
        <v>128600</v>
      </c>
      <c r="CH11" s="227">
        <f>IFERROR(VLOOKUP($AH11,Sheet1!$E$3:$AT$26,COLUMN(Sheet1!AH$2),0),"")</f>
        <v>132500</v>
      </c>
      <c r="CI11" s="227">
        <f>IFERROR(VLOOKUP($AH11,Sheet1!$E$3:$AT$26,COLUMN(Sheet1!AI$2),0),"")</f>
        <v>136500</v>
      </c>
      <c r="CJ11" s="227">
        <f>IFERROR(VLOOKUP($AH11,Sheet1!$E$3:$AT$26,COLUMN(Sheet1!AJ$2),0),"")</f>
        <v>140600</v>
      </c>
      <c r="CK11" s="227">
        <f>IFERROR(VLOOKUP($AH11,Sheet1!$E$3:$AT$26,COLUMN(Sheet1!AK$2),0),"")</f>
        <v>144800</v>
      </c>
      <c r="CL11" s="227">
        <f>IFERROR(VLOOKUP($AH11,Sheet1!$E$3:$AT$26,COLUMN(Sheet1!AL$2),0),"")</f>
        <v>149100</v>
      </c>
      <c r="CM11" s="227">
        <f>IFERROR(VLOOKUP($AH11,Sheet1!$E$3:$AT$26,COLUMN(Sheet1!AM$2),0),"")</f>
        <v>153600</v>
      </c>
      <c r="CN11" s="227">
        <f>IFERROR(VLOOKUP($AH11,Sheet1!$E$3:$AT$26,COLUMN(Sheet1!AN$2),0),"")</f>
        <v>158200</v>
      </c>
      <c r="CO11" s="227">
        <f>IFERROR(VLOOKUP($AH11,Sheet1!$E$3:$AT$26,COLUMN(Sheet1!AO$2),0),"")</f>
        <v>162900</v>
      </c>
      <c r="CP11" s="227">
        <f>IFERROR(VLOOKUP($AH11,Sheet1!$E$3:$AT$26,COLUMN(Sheet1!AP$2),0),"")</f>
        <v>167800</v>
      </c>
      <c r="CQ11" s="239">
        <f>IFERROR(VLOOKUP($AW11,Sheet1!$E$3:$AT$26,COLUMN(Sheet1!C$2),0),"")</f>
        <v>56100</v>
      </c>
      <c r="CR11" s="239">
        <f>IFERROR(VLOOKUP($AW11,Sheet1!$E$3:$AT$26,COLUMN(Sheet1!D$2),0),"")</f>
        <v>57800</v>
      </c>
      <c r="CS11" s="239">
        <f>IFERROR(VLOOKUP($AW11,Sheet1!$E$3:$AT$26,COLUMN(Sheet1!E$2),0),"")</f>
        <v>59500</v>
      </c>
      <c r="CT11" s="239">
        <f>IFERROR(VLOOKUP($AW11,Sheet1!$E$3:$AT$26,COLUMN(Sheet1!F$2),0),"")</f>
        <v>61300</v>
      </c>
      <c r="CU11" s="239">
        <f>IFERROR(VLOOKUP($AW11,Sheet1!$E$3:$AT$26,COLUMN(Sheet1!G$2),0),"")</f>
        <v>63100</v>
      </c>
      <c r="CV11" s="239">
        <f>IFERROR(VLOOKUP($AW11,Sheet1!$E$3:$AT$26,COLUMN(Sheet1!H$2),0),"")</f>
        <v>65000</v>
      </c>
      <c r="CW11" s="239">
        <f>IFERROR(VLOOKUP($AW11,Sheet1!$E$3:$AT$26,COLUMN(Sheet1!I$2),0),"")</f>
        <v>67000</v>
      </c>
      <c r="CX11" s="239">
        <f>IFERROR(VLOOKUP($AW11,Sheet1!$E$3:$AT$26,COLUMN(Sheet1!J$2),0),"")</f>
        <v>69000</v>
      </c>
      <c r="CY11" s="239">
        <f>IFERROR(VLOOKUP($AW11,Sheet1!$E$3:$AT$26,COLUMN(Sheet1!K$2),0),"")</f>
        <v>71100</v>
      </c>
      <c r="CZ11" s="239">
        <f>IFERROR(VLOOKUP($AW11,Sheet1!$E$3:$AT$26,COLUMN(Sheet1!L$2),0),"")</f>
        <v>73200</v>
      </c>
      <c r="DA11" s="239">
        <f>IFERROR(VLOOKUP($AW11,Sheet1!$E$3:$AT$26,COLUMN(Sheet1!M$2),0),"")</f>
        <v>75400</v>
      </c>
      <c r="DB11" s="239">
        <f>IFERROR(VLOOKUP($AW11,Sheet1!$E$3:$AT$26,COLUMN(Sheet1!N$2),0),"")</f>
        <v>77700</v>
      </c>
      <c r="DC11" s="239">
        <f>IFERROR(VLOOKUP($AW11,Sheet1!$E$3:$AT$26,COLUMN(Sheet1!O$2),0),"")</f>
        <v>80000</v>
      </c>
      <c r="DD11" s="239">
        <f>IFERROR(VLOOKUP($AW11,Sheet1!$E$3:$AT$26,COLUMN(Sheet1!P$2),0),"")</f>
        <v>82400</v>
      </c>
      <c r="DE11" s="239">
        <f>IFERROR(VLOOKUP($AW11,Sheet1!$E$3:$AT$26,COLUMN(Sheet1!Q$2),0),"")</f>
        <v>84900</v>
      </c>
      <c r="DF11" s="239">
        <f>IFERROR(VLOOKUP($AW11,Sheet1!$E$3:$AT$26,COLUMN(Sheet1!R$2),0),"")</f>
        <v>87400</v>
      </c>
      <c r="DG11" s="239">
        <f>IFERROR(VLOOKUP($AW11,Sheet1!$E$3:$AT$26,COLUMN(Sheet1!S$2),0),"")</f>
        <v>90000</v>
      </c>
      <c r="DH11" s="239">
        <f>IFERROR(VLOOKUP($AW11,Sheet1!$E$3:$AT$26,COLUMN(Sheet1!T$2),0),"")</f>
        <v>92700</v>
      </c>
      <c r="DI11" s="239">
        <f>IFERROR(VLOOKUP($AW11,Sheet1!$E$3:$AT$26,COLUMN(Sheet1!U$2),0),"")</f>
        <v>95500</v>
      </c>
      <c r="DJ11" s="239">
        <f>IFERROR(VLOOKUP($AW11,Sheet1!$E$3:$AT$26,COLUMN(Sheet1!V$2),0),"")</f>
        <v>98400</v>
      </c>
      <c r="DK11" s="239">
        <f>IFERROR(VLOOKUP($AW11,Sheet1!$E$3:$AT$26,COLUMN(Sheet1!W$2),0),"")</f>
        <v>101400</v>
      </c>
      <c r="DL11" s="239">
        <f>IFERROR(VLOOKUP($AW11,Sheet1!$E$3:$AT$26,COLUMN(Sheet1!X$2),0),"")</f>
        <v>104400</v>
      </c>
      <c r="DM11" s="239">
        <f>IFERROR(VLOOKUP($AW11,Sheet1!$E$3:$AT$26,COLUMN(Sheet1!Y$2),0),"")</f>
        <v>107500</v>
      </c>
      <c r="DN11" s="239">
        <f>IFERROR(VLOOKUP($AW11,Sheet1!$E$3:$AT$26,COLUMN(Sheet1!Z$2),0),"")</f>
        <v>110700</v>
      </c>
      <c r="DO11" s="239">
        <f>IFERROR(VLOOKUP($AW11,Sheet1!$E$3:$AT$26,COLUMN(Sheet1!AA$2),0),"")</f>
        <v>114000</v>
      </c>
      <c r="DP11" s="239">
        <f>IFERROR(VLOOKUP($AW11,Sheet1!$E$3:$AT$26,COLUMN(Sheet1!AB$2),0),"")</f>
        <v>117400</v>
      </c>
      <c r="DQ11" s="239">
        <f>IFERROR(VLOOKUP($AW11,Sheet1!$E$3:$AT$26,COLUMN(Sheet1!AC$2),0),"")</f>
        <v>120900</v>
      </c>
      <c r="DR11" s="239">
        <f>IFERROR(VLOOKUP($AW11,Sheet1!$E$3:$AT$26,COLUMN(Sheet1!AD$2),0),"")</f>
        <v>124500</v>
      </c>
      <c r="DS11" s="239">
        <f>IFERROR(VLOOKUP($AW11,Sheet1!$E$3:$AT$26,COLUMN(Sheet1!AE$2),0),"")</f>
        <v>128200</v>
      </c>
      <c r="DT11" s="239">
        <f>IFERROR(VLOOKUP($AW11,Sheet1!$E$3:$AT$26,COLUMN(Sheet1!AF$2),0),"")</f>
        <v>132000</v>
      </c>
      <c r="DU11" s="239">
        <f>IFERROR(VLOOKUP($AW11,Sheet1!$E$3:$AT$26,COLUMN(Sheet1!AG$2),0),"")</f>
        <v>136000</v>
      </c>
      <c r="DV11" s="239">
        <f>IFERROR(VLOOKUP($AW11,Sheet1!$E$3:$AT$26,COLUMN(Sheet1!AH$2),0),"")</f>
        <v>140100</v>
      </c>
      <c r="DW11" s="239">
        <f>IFERROR(VLOOKUP($AW11,Sheet1!$E$3:$AT$26,COLUMN(Sheet1!AI$2),0),"")</f>
        <v>144300</v>
      </c>
      <c r="DX11" s="239">
        <f>IFERROR(VLOOKUP($AW11,Sheet1!$E$3:$AT$26,COLUMN(Sheet1!AJ$2),0),"")</f>
        <v>148600</v>
      </c>
      <c r="DY11" s="239">
        <f>IFERROR(VLOOKUP($AW11,Sheet1!$E$3:$AT$26,COLUMN(Sheet1!AK$2),0),"")</f>
        <v>153100</v>
      </c>
      <c r="DZ11" s="239">
        <f>IFERROR(VLOOKUP($AW11,Sheet1!$E$3:$AT$26,COLUMN(Sheet1!AL$2),0),"")</f>
        <v>157700</v>
      </c>
      <c r="EA11" s="239">
        <f>IFERROR(VLOOKUP($AW11,Sheet1!$E$3:$AT$26,COLUMN(Sheet1!AM$2),0),"")</f>
        <v>162400</v>
      </c>
      <c r="EB11" s="239">
        <f>IFERROR(VLOOKUP($AW11,Sheet1!$E$3:$AT$26,COLUMN(Sheet1!AN$2),0),"")</f>
        <v>167300</v>
      </c>
      <c r="EC11" s="239">
        <f>IFERROR(VLOOKUP($AW11,Sheet1!$E$3:$AT$26,COLUMN(Sheet1!AO$2),0),"")</f>
        <v>172300</v>
      </c>
      <c r="ED11" s="239">
        <f>IFERROR(VLOOKUP($AW11,Sheet1!$E$3:$AT$26,COLUMN(Sheet1!AP$2),0),"")</f>
        <v>177500</v>
      </c>
    </row>
    <row r="12" spans="1:134" ht="30.75" customHeight="1">
      <c r="A12" s="242"/>
      <c r="B12" s="306"/>
      <c r="C12" s="286"/>
      <c r="D12" s="362"/>
      <c r="E12" s="308"/>
      <c r="F12" s="344"/>
      <c r="G12" s="232"/>
      <c r="H12" s="318"/>
      <c r="I12" s="274"/>
      <c r="J12" s="42" t="str">
        <f t="shared" ref="J12" si="33">IF($AU$4&gt;J11,$AU$4,"")</f>
        <v/>
      </c>
      <c r="K12" s="43" t="str">
        <f t="shared" ref="K12" si="34">IF(J12="","",ROUND(K11*1.03,-2))</f>
        <v/>
      </c>
      <c r="L12" s="44" t="str">
        <f t="shared" ref="L12" si="35">IF(J12="","",L11)</f>
        <v/>
      </c>
      <c r="M12" s="45" t="str">
        <f>IF(MAX(J11:J12)=J12,"",K12)</f>
        <v/>
      </c>
      <c r="N12" s="284"/>
      <c r="O12" s="270"/>
      <c r="P12" s="46" t="str">
        <f t="shared" ref="P12" si="36">IF(O11="MACP not being defined","------",IF(F11="","",IF(P11&lt;$AU$4,$AU$4,"")))</f>
        <v/>
      </c>
      <c r="Q12" s="47" t="str">
        <f t="shared" ref="Q12" si="37">IF(O11="MACP not being defined","------",IF(F11="","",IF(P12="","",ROUND(Q11*1.03,-2))))</f>
        <v/>
      </c>
      <c r="R12" s="264"/>
      <c r="S12" s="48" t="str">
        <f t="shared" ref="S12" si="38">IF(F11="","",IF(P12="","",S11))</f>
        <v/>
      </c>
      <c r="T12" s="314"/>
      <c r="U12" s="303"/>
      <c r="V12" s="346"/>
      <c r="W12" s="282"/>
      <c r="X12" s="317"/>
      <c r="Y12" s="256"/>
      <c r="Z12" s="242"/>
      <c r="AB12" s="40"/>
      <c r="AD12" s="234"/>
      <c r="AE12" s="236"/>
      <c r="AF12" s="236"/>
      <c r="AG12" s="236"/>
      <c r="AH12" s="234"/>
      <c r="AI12" s="236"/>
      <c r="AJ12" s="276"/>
      <c r="AK12" s="236"/>
      <c r="AL12" s="241"/>
      <c r="AM12" s="241"/>
      <c r="AN12" s="241"/>
      <c r="AO12" s="241"/>
      <c r="AP12" s="241"/>
      <c r="AQ12" s="241"/>
      <c r="AR12" s="241"/>
      <c r="AS12" s="241"/>
      <c r="AT12" s="241"/>
      <c r="AU12" s="241"/>
      <c r="AV12" s="241"/>
      <c r="AW12" s="234"/>
      <c r="AX12" s="241"/>
      <c r="AY12" s="236"/>
      <c r="AZ12" s="241"/>
      <c r="BA12" s="49" t="str">
        <f>IF(F11="","",IF(AND(F11&lt;$AE$3,F11&lt;AB12),ROUND(MAX(BA11:BA11)*1.03,-2),""))</f>
        <v/>
      </c>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row>
    <row r="13" spans="1:134" ht="30.75" customHeight="1">
      <c r="A13" s="242"/>
      <c r="B13" s="309">
        <v>4</v>
      </c>
      <c r="C13" s="271" t="s">
        <v>101</v>
      </c>
      <c r="D13" s="261" t="s">
        <v>40</v>
      </c>
      <c r="E13" s="279">
        <v>27</v>
      </c>
      <c r="F13" s="267">
        <v>44958</v>
      </c>
      <c r="G13" s="265">
        <v>69000</v>
      </c>
      <c r="H13" s="254">
        <v>12</v>
      </c>
      <c r="I13" s="336">
        <f t="shared" ref="I13" si="39">IF(F13="","",IF(F13&gt;$AE$3,F13,$AE$3))</f>
        <v>45017</v>
      </c>
      <c r="J13" s="33">
        <f t="shared" si="0"/>
        <v>45017</v>
      </c>
      <c r="K13" s="34">
        <f>IF(F13="","",AX13)</f>
        <v>71300</v>
      </c>
      <c r="L13" s="35">
        <f>IF(J13="","",AH13)</f>
        <v>13</v>
      </c>
      <c r="M13" s="36">
        <f>IF(MAX(J13:J14)=J13,"",K13)</f>
        <v>71300</v>
      </c>
      <c r="N13" s="283">
        <f>IF(M13="",K13,MAX(M13:M14))</f>
        <v>71300</v>
      </c>
      <c r="O13" s="326">
        <f t="shared" ref="O13" si="40">IF(H13="","",IF(OR(H13&gt;12,H13&lt;12),"MACP not being defined",I13))</f>
        <v>45017</v>
      </c>
      <c r="P13" s="50">
        <f t="shared" ref="P13" si="41">IF(O13="MACP not being defined","------",IF(F13="","",O13))</f>
        <v>45017</v>
      </c>
      <c r="Q13" s="51">
        <f>IF(O13="MACP not being defined","------",IF(F13="","",MAX(BA13:BA14)))</f>
        <v>73200</v>
      </c>
      <c r="R13" s="263">
        <f t="shared" ref="R13" si="42">Q13</f>
        <v>73200</v>
      </c>
      <c r="S13" s="52">
        <f>IF(O13="MACP not being defined","------",IF(F13="","",AW13))</f>
        <v>14</v>
      </c>
      <c r="T13" s="225">
        <f t="shared" ref="T13" si="43">IF(O13="MACP not being defined","------",IF(F13="","",O13))</f>
        <v>45017</v>
      </c>
      <c r="U13" s="252" t="str">
        <f t="shared" ref="U13" si="44">IF(O13="MACP Not Applicable","------",IF(F13="","",IF(T13="","","To")))</f>
        <v>To</v>
      </c>
      <c r="V13" s="237">
        <v>45291</v>
      </c>
      <c r="W13" s="297">
        <v>8000</v>
      </c>
      <c r="X13" s="324">
        <v>0.05</v>
      </c>
      <c r="Y13" s="257"/>
      <c r="Z13" s="242"/>
      <c r="AB13" s="40"/>
      <c r="AD13" s="233">
        <f>IF(C13="","",H13)</f>
        <v>12</v>
      </c>
      <c r="AE13" s="235">
        <f>IF(C13="","",G13)</f>
        <v>69000</v>
      </c>
      <c r="AF13" s="235">
        <f>IF(C13="","",ROUND(AE13*1.03,-2))</f>
        <v>71100</v>
      </c>
      <c r="AG13" s="235">
        <f>IF(D13="","",ROUND(AF13*1.03,-2))</f>
        <v>73200</v>
      </c>
      <c r="AH13" s="233">
        <f>IF(C13="","",AD13+1)</f>
        <v>13</v>
      </c>
      <c r="AI13" s="235">
        <f>IFERROR(LOOKUP($AF13,$BC13:$CP13),"")</f>
        <v>69200</v>
      </c>
      <c r="AJ13" s="275">
        <f t="shared" ref="AJ13" si="45">IF(F13="","",F13)</f>
        <v>44958</v>
      </c>
      <c r="AK13" s="235">
        <f>IF(C13="","",IF(AF13=AI13,AI13,ROUND(AI13*1.03,-2)))</f>
        <v>71300</v>
      </c>
      <c r="AL13" s="235" t="str">
        <f t="shared" ref="AL13" si="46">IF(AL$4&lt;$AJ13,"",ROUND(MAX($AK13)*1.03,-2))</f>
        <v/>
      </c>
      <c r="AM13" s="235" t="str">
        <f>IF(AM$4&lt;$AJ13,"",ROUND(MAX($AK13:AL13)*1.03,-2))</f>
        <v/>
      </c>
      <c r="AN13" s="235" t="str">
        <f>IF(AN$4&lt;$AJ13,"",ROUND(MAX($AK13:AM13)*1.03,-2))</f>
        <v/>
      </c>
      <c r="AO13" s="235" t="str">
        <f>IF(AO$4&lt;$AJ13,"",ROUND(MAX($AK13:AN13)*1.03,-2))</f>
        <v/>
      </c>
      <c r="AP13" s="235" t="str">
        <f>IF(AP$4&lt;$AJ13,"",ROUND(MAX($AK13:AO13)*1.03,-2))</f>
        <v/>
      </c>
      <c r="AQ13" s="235" t="str">
        <f>IF(AQ$4&lt;$AJ13,"",ROUND(MAX($AK13:AP13)*1.03,-2))</f>
        <v/>
      </c>
      <c r="AR13" s="235" t="str">
        <f>IF(AR$4&lt;$AJ13,"",ROUND(MAX($AK13:AQ13)*1.03,-2))</f>
        <v/>
      </c>
      <c r="AS13" s="235" t="str">
        <f>IF(AS$4&lt;$AJ13,"",ROUND(MAX($AK13:AR13)*1.03,-2))</f>
        <v/>
      </c>
      <c r="AT13" s="235" t="str">
        <f>IF(AT$4&lt;$AJ13,"",ROUND(MAX($AK13:AS13)*1.03,-2))</f>
        <v/>
      </c>
      <c r="AU13" s="235">
        <f>IF(AU$4&lt;$AJ13,"",ROUND(MAX($AK13:AT13)*1.03,-2))</f>
        <v>73400</v>
      </c>
      <c r="AV13" s="235">
        <f t="shared" ref="AV13" si="47">IF(AT13="",AK13,IF(AT13&gt;0,AT13))</f>
        <v>71300</v>
      </c>
      <c r="AW13" s="233">
        <f>IF(C13="","",AD13+2)</f>
        <v>14</v>
      </c>
      <c r="AX13" s="235">
        <f t="shared" ref="AX13" si="48">AV13</f>
        <v>71300</v>
      </c>
      <c r="AY13" s="235">
        <f t="shared" ref="AY13" si="49">IFERROR(LOOKUP($AX13,$CQ13:$ED13),"")</f>
        <v>71100</v>
      </c>
      <c r="AZ13" s="235">
        <f t="shared" ref="AZ13" si="50">IF(AJ13="","",IF(ROUND(AY13*1.03,-2)&gt;AU13,AY13,ROUND(AY13*1.03,-2)))</f>
        <v>73200</v>
      </c>
      <c r="BA13" s="41">
        <f>AZ13</f>
        <v>73200</v>
      </c>
      <c r="BC13" s="227">
        <f>IFERROR(VLOOKUP($AH13,Sheet1!$E$3:$AT$26,COLUMN(Sheet1!C$2),0),"")</f>
        <v>53100</v>
      </c>
      <c r="BD13" s="227">
        <f>IFERROR(VLOOKUP($AH13,Sheet1!$E$3:$AT$26,COLUMN(Sheet1!D$2),0),"")</f>
        <v>54700</v>
      </c>
      <c r="BE13" s="227">
        <f>IFERROR(VLOOKUP($AH13,Sheet1!$E$3:$AT$26,COLUMN(Sheet1!E$2),0),"")</f>
        <v>56300</v>
      </c>
      <c r="BF13" s="227">
        <f>IFERROR(VLOOKUP($AH13,Sheet1!$E$3:$AT$26,COLUMN(Sheet1!F$2),0),"")</f>
        <v>58000</v>
      </c>
      <c r="BG13" s="227">
        <f>IFERROR(VLOOKUP($AH13,Sheet1!$E$3:$AT$26,COLUMN(Sheet1!G$2),0),"")</f>
        <v>59700</v>
      </c>
      <c r="BH13" s="227">
        <f>IFERROR(VLOOKUP($AH13,Sheet1!$E$3:$AT$26,COLUMN(Sheet1!H$2),0),"")</f>
        <v>61500</v>
      </c>
      <c r="BI13" s="227">
        <f>IFERROR(VLOOKUP($AH13,Sheet1!$E$3:$AT$26,COLUMN(Sheet1!I$2),0),"")</f>
        <v>63300</v>
      </c>
      <c r="BJ13" s="227">
        <f>IFERROR(VLOOKUP($AH13,Sheet1!$E$3:$AT$26,COLUMN(Sheet1!J$2),0),"")</f>
        <v>65200</v>
      </c>
      <c r="BK13" s="227">
        <f>IFERROR(VLOOKUP($AH13,Sheet1!$E$3:$AT$26,COLUMN(Sheet1!K$2),0),"")</f>
        <v>67200</v>
      </c>
      <c r="BL13" s="227">
        <f>IFERROR(VLOOKUP($AH13,Sheet1!$E$3:$AT$26,COLUMN(Sheet1!L$2),0),"")</f>
        <v>69200</v>
      </c>
      <c r="BM13" s="227">
        <f>IFERROR(VLOOKUP($AH13,Sheet1!$E$3:$AT$26,COLUMN(Sheet1!M$2),0),"")</f>
        <v>71300</v>
      </c>
      <c r="BN13" s="227">
        <f>IFERROR(VLOOKUP($AH13,Sheet1!$E$3:$AT$26,COLUMN(Sheet1!N$2),0),"")</f>
        <v>73400</v>
      </c>
      <c r="BO13" s="227">
        <f>IFERROR(VLOOKUP($AH13,Sheet1!$E$3:$AT$26,COLUMN(Sheet1!O$2),0),"")</f>
        <v>75600</v>
      </c>
      <c r="BP13" s="227">
        <f>IFERROR(VLOOKUP($AH13,Sheet1!$E$3:$AT$26,COLUMN(Sheet1!P$2),0),"")</f>
        <v>77900</v>
      </c>
      <c r="BQ13" s="227">
        <f>IFERROR(VLOOKUP($AH13,Sheet1!$E$3:$AT$26,COLUMN(Sheet1!Q$2),0),"")</f>
        <v>80200</v>
      </c>
      <c r="BR13" s="227">
        <f>IFERROR(VLOOKUP($AH13,Sheet1!$E$3:$AT$26,COLUMN(Sheet1!R$2),0),"")</f>
        <v>82600</v>
      </c>
      <c r="BS13" s="227">
        <f>IFERROR(VLOOKUP($AH13,Sheet1!$E$3:$AT$26,COLUMN(Sheet1!S$2),0),"")</f>
        <v>85100</v>
      </c>
      <c r="BT13" s="227">
        <f>IFERROR(VLOOKUP($AH13,Sheet1!$E$3:$AT$26,COLUMN(Sheet1!T$2),0),"")</f>
        <v>87700</v>
      </c>
      <c r="BU13" s="227">
        <f>IFERROR(VLOOKUP($AH13,Sheet1!$E$3:$AT$26,COLUMN(Sheet1!U$2),0),"")</f>
        <v>90300</v>
      </c>
      <c r="BV13" s="227">
        <f>IFERROR(VLOOKUP($AH13,Sheet1!$E$3:$AT$26,COLUMN(Sheet1!V$2),0),"")</f>
        <v>93000</v>
      </c>
      <c r="BW13" s="227">
        <f>IFERROR(VLOOKUP($AH13,Sheet1!$E$3:$AT$26,COLUMN(Sheet1!W$2),0),"")</f>
        <v>95800</v>
      </c>
      <c r="BX13" s="227">
        <f>IFERROR(VLOOKUP($AH13,Sheet1!$E$3:$AT$26,COLUMN(Sheet1!X$2),0),"")</f>
        <v>98700</v>
      </c>
      <c r="BY13" s="227">
        <f>IFERROR(VLOOKUP($AH13,Sheet1!$E$3:$AT$26,COLUMN(Sheet1!Y$2),0),"")</f>
        <v>101700</v>
      </c>
      <c r="BZ13" s="227">
        <f>IFERROR(VLOOKUP($AH13,Sheet1!$E$3:$AT$26,COLUMN(Sheet1!Z$2),0),"")</f>
        <v>104800</v>
      </c>
      <c r="CA13" s="227">
        <f>IFERROR(VLOOKUP($AH13,Sheet1!$E$3:$AT$26,COLUMN(Sheet1!AA$2),0),"")</f>
        <v>107900</v>
      </c>
      <c r="CB13" s="227">
        <f>IFERROR(VLOOKUP($AH13,Sheet1!$E$3:$AT$26,COLUMN(Sheet1!AB$2),0),"")</f>
        <v>111100</v>
      </c>
      <c r="CC13" s="227">
        <f>IFERROR(VLOOKUP($AH13,Sheet1!$E$3:$AT$26,COLUMN(Sheet1!AC$2),0),"")</f>
        <v>114400</v>
      </c>
      <c r="CD13" s="227">
        <f>IFERROR(VLOOKUP($AH13,Sheet1!$E$3:$AT$26,COLUMN(Sheet1!AD$2),0),"")</f>
        <v>117800</v>
      </c>
      <c r="CE13" s="227">
        <f>IFERROR(VLOOKUP($AH13,Sheet1!$E$3:$AT$26,COLUMN(Sheet1!AE$2),0),"")</f>
        <v>121300</v>
      </c>
      <c r="CF13" s="227">
        <f>IFERROR(VLOOKUP($AH13,Sheet1!$E$3:$AT$26,COLUMN(Sheet1!AF$2),0),"")</f>
        <v>124900</v>
      </c>
      <c r="CG13" s="227">
        <f>IFERROR(VLOOKUP($AH13,Sheet1!$E$3:$AT$26,COLUMN(Sheet1!AG$2),0),"")</f>
        <v>128600</v>
      </c>
      <c r="CH13" s="227">
        <f>IFERROR(VLOOKUP($AH13,Sheet1!$E$3:$AT$26,COLUMN(Sheet1!AH$2),0),"")</f>
        <v>132500</v>
      </c>
      <c r="CI13" s="227">
        <f>IFERROR(VLOOKUP($AH13,Sheet1!$E$3:$AT$26,COLUMN(Sheet1!AI$2),0),"")</f>
        <v>136500</v>
      </c>
      <c r="CJ13" s="227">
        <f>IFERROR(VLOOKUP($AH13,Sheet1!$E$3:$AT$26,COLUMN(Sheet1!AJ$2),0),"")</f>
        <v>140600</v>
      </c>
      <c r="CK13" s="227">
        <f>IFERROR(VLOOKUP($AH13,Sheet1!$E$3:$AT$26,COLUMN(Sheet1!AK$2),0),"")</f>
        <v>144800</v>
      </c>
      <c r="CL13" s="227">
        <f>IFERROR(VLOOKUP($AH13,Sheet1!$E$3:$AT$26,COLUMN(Sheet1!AL$2),0),"")</f>
        <v>149100</v>
      </c>
      <c r="CM13" s="227">
        <f>IFERROR(VLOOKUP($AH13,Sheet1!$E$3:$AT$26,COLUMN(Sheet1!AM$2),0),"")</f>
        <v>153600</v>
      </c>
      <c r="CN13" s="227">
        <f>IFERROR(VLOOKUP($AH13,Sheet1!$E$3:$AT$26,COLUMN(Sheet1!AN$2),0),"")</f>
        <v>158200</v>
      </c>
      <c r="CO13" s="227">
        <f>IFERROR(VLOOKUP($AH13,Sheet1!$E$3:$AT$26,COLUMN(Sheet1!AO$2),0),"")</f>
        <v>162900</v>
      </c>
      <c r="CP13" s="227">
        <f>IFERROR(VLOOKUP($AH13,Sheet1!$E$3:$AT$26,COLUMN(Sheet1!AP$2),0),"")</f>
        <v>167800</v>
      </c>
      <c r="CQ13" s="239">
        <f>IFERROR(VLOOKUP($AW13,Sheet1!$E$3:$AT$26,COLUMN(Sheet1!C$2),0),"")</f>
        <v>56100</v>
      </c>
      <c r="CR13" s="239">
        <f>IFERROR(VLOOKUP($AW13,Sheet1!$E$3:$AT$26,COLUMN(Sheet1!D$2),0),"")</f>
        <v>57800</v>
      </c>
      <c r="CS13" s="239">
        <f>IFERROR(VLOOKUP($AW13,Sheet1!$E$3:$AT$26,COLUMN(Sheet1!E$2),0),"")</f>
        <v>59500</v>
      </c>
      <c r="CT13" s="239">
        <f>IFERROR(VLOOKUP($AW13,Sheet1!$E$3:$AT$26,COLUMN(Sheet1!F$2),0),"")</f>
        <v>61300</v>
      </c>
      <c r="CU13" s="239">
        <f>IFERROR(VLOOKUP($AW13,Sheet1!$E$3:$AT$26,COLUMN(Sheet1!G$2),0),"")</f>
        <v>63100</v>
      </c>
      <c r="CV13" s="239">
        <f>IFERROR(VLOOKUP($AW13,Sheet1!$E$3:$AT$26,COLUMN(Sheet1!H$2),0),"")</f>
        <v>65000</v>
      </c>
      <c r="CW13" s="239">
        <f>IFERROR(VLOOKUP($AW13,Sheet1!$E$3:$AT$26,COLUMN(Sheet1!I$2),0),"")</f>
        <v>67000</v>
      </c>
      <c r="CX13" s="239">
        <f>IFERROR(VLOOKUP($AW13,Sheet1!$E$3:$AT$26,COLUMN(Sheet1!J$2),0),"")</f>
        <v>69000</v>
      </c>
      <c r="CY13" s="239">
        <f>IFERROR(VLOOKUP($AW13,Sheet1!$E$3:$AT$26,COLUMN(Sheet1!K$2),0),"")</f>
        <v>71100</v>
      </c>
      <c r="CZ13" s="239">
        <f>IFERROR(VLOOKUP($AW13,Sheet1!$E$3:$AT$26,COLUMN(Sheet1!L$2),0),"")</f>
        <v>73200</v>
      </c>
      <c r="DA13" s="239">
        <f>IFERROR(VLOOKUP($AW13,Sheet1!$E$3:$AT$26,COLUMN(Sheet1!M$2),0),"")</f>
        <v>75400</v>
      </c>
      <c r="DB13" s="239">
        <f>IFERROR(VLOOKUP($AW13,Sheet1!$E$3:$AT$26,COLUMN(Sheet1!N$2),0),"")</f>
        <v>77700</v>
      </c>
      <c r="DC13" s="239">
        <f>IFERROR(VLOOKUP($AW13,Sheet1!$E$3:$AT$26,COLUMN(Sheet1!O$2),0),"")</f>
        <v>80000</v>
      </c>
      <c r="DD13" s="239">
        <f>IFERROR(VLOOKUP($AW13,Sheet1!$E$3:$AT$26,COLUMN(Sheet1!P$2),0),"")</f>
        <v>82400</v>
      </c>
      <c r="DE13" s="239">
        <f>IFERROR(VLOOKUP($AW13,Sheet1!$E$3:$AT$26,COLUMN(Sheet1!Q$2),0),"")</f>
        <v>84900</v>
      </c>
      <c r="DF13" s="239">
        <f>IFERROR(VLOOKUP($AW13,Sheet1!$E$3:$AT$26,COLUMN(Sheet1!R$2),0),"")</f>
        <v>87400</v>
      </c>
      <c r="DG13" s="239">
        <f>IFERROR(VLOOKUP($AW13,Sheet1!$E$3:$AT$26,COLUMN(Sheet1!S$2),0),"")</f>
        <v>90000</v>
      </c>
      <c r="DH13" s="239">
        <f>IFERROR(VLOOKUP($AW13,Sheet1!$E$3:$AT$26,COLUMN(Sheet1!T$2),0),"")</f>
        <v>92700</v>
      </c>
      <c r="DI13" s="239">
        <f>IFERROR(VLOOKUP($AW13,Sheet1!$E$3:$AT$26,COLUMN(Sheet1!U$2),0),"")</f>
        <v>95500</v>
      </c>
      <c r="DJ13" s="239">
        <f>IFERROR(VLOOKUP($AW13,Sheet1!$E$3:$AT$26,COLUMN(Sheet1!V$2),0),"")</f>
        <v>98400</v>
      </c>
      <c r="DK13" s="239">
        <f>IFERROR(VLOOKUP($AW13,Sheet1!$E$3:$AT$26,COLUMN(Sheet1!W$2),0),"")</f>
        <v>101400</v>
      </c>
      <c r="DL13" s="239">
        <f>IFERROR(VLOOKUP($AW13,Sheet1!$E$3:$AT$26,COLUMN(Sheet1!X$2),0),"")</f>
        <v>104400</v>
      </c>
      <c r="DM13" s="239">
        <f>IFERROR(VLOOKUP($AW13,Sheet1!$E$3:$AT$26,COLUMN(Sheet1!Y$2),0),"")</f>
        <v>107500</v>
      </c>
      <c r="DN13" s="239">
        <f>IFERROR(VLOOKUP($AW13,Sheet1!$E$3:$AT$26,COLUMN(Sheet1!Z$2),0),"")</f>
        <v>110700</v>
      </c>
      <c r="DO13" s="239">
        <f>IFERROR(VLOOKUP($AW13,Sheet1!$E$3:$AT$26,COLUMN(Sheet1!AA$2),0),"")</f>
        <v>114000</v>
      </c>
      <c r="DP13" s="239">
        <f>IFERROR(VLOOKUP($AW13,Sheet1!$E$3:$AT$26,COLUMN(Sheet1!AB$2),0),"")</f>
        <v>117400</v>
      </c>
      <c r="DQ13" s="239">
        <f>IFERROR(VLOOKUP($AW13,Sheet1!$E$3:$AT$26,COLUMN(Sheet1!AC$2),0),"")</f>
        <v>120900</v>
      </c>
      <c r="DR13" s="239">
        <f>IFERROR(VLOOKUP($AW13,Sheet1!$E$3:$AT$26,COLUMN(Sheet1!AD$2),0),"")</f>
        <v>124500</v>
      </c>
      <c r="DS13" s="239">
        <f>IFERROR(VLOOKUP($AW13,Sheet1!$E$3:$AT$26,COLUMN(Sheet1!AE$2),0),"")</f>
        <v>128200</v>
      </c>
      <c r="DT13" s="239">
        <f>IFERROR(VLOOKUP($AW13,Sheet1!$E$3:$AT$26,COLUMN(Sheet1!AF$2),0),"")</f>
        <v>132000</v>
      </c>
      <c r="DU13" s="239">
        <f>IFERROR(VLOOKUP($AW13,Sheet1!$E$3:$AT$26,COLUMN(Sheet1!AG$2),0),"")</f>
        <v>136000</v>
      </c>
      <c r="DV13" s="239">
        <f>IFERROR(VLOOKUP($AW13,Sheet1!$E$3:$AT$26,COLUMN(Sheet1!AH$2),0),"")</f>
        <v>140100</v>
      </c>
      <c r="DW13" s="239">
        <f>IFERROR(VLOOKUP($AW13,Sheet1!$E$3:$AT$26,COLUMN(Sheet1!AI$2),0),"")</f>
        <v>144300</v>
      </c>
      <c r="DX13" s="239">
        <f>IFERROR(VLOOKUP($AW13,Sheet1!$E$3:$AT$26,COLUMN(Sheet1!AJ$2),0),"")</f>
        <v>148600</v>
      </c>
      <c r="DY13" s="239">
        <f>IFERROR(VLOOKUP($AW13,Sheet1!$E$3:$AT$26,COLUMN(Sheet1!AK$2),0),"")</f>
        <v>153100</v>
      </c>
      <c r="DZ13" s="239">
        <f>IFERROR(VLOOKUP($AW13,Sheet1!$E$3:$AT$26,COLUMN(Sheet1!AL$2),0),"")</f>
        <v>157700</v>
      </c>
      <c r="EA13" s="239">
        <f>IFERROR(VLOOKUP($AW13,Sheet1!$E$3:$AT$26,COLUMN(Sheet1!AM$2),0),"")</f>
        <v>162400</v>
      </c>
      <c r="EB13" s="239">
        <f>IFERROR(VLOOKUP($AW13,Sheet1!$E$3:$AT$26,COLUMN(Sheet1!AN$2),0),"")</f>
        <v>167300</v>
      </c>
      <c r="EC13" s="239">
        <f>IFERROR(VLOOKUP($AW13,Sheet1!$E$3:$AT$26,COLUMN(Sheet1!AO$2),0),"")</f>
        <v>172300</v>
      </c>
      <c r="ED13" s="239">
        <f>IFERROR(VLOOKUP($AW13,Sheet1!$E$3:$AT$26,COLUMN(Sheet1!AP$2),0),"")</f>
        <v>177500</v>
      </c>
    </row>
    <row r="14" spans="1:134" ht="30.75" customHeight="1">
      <c r="A14" s="242"/>
      <c r="B14" s="310"/>
      <c r="C14" s="272"/>
      <c r="D14" s="262"/>
      <c r="E14" s="280"/>
      <c r="F14" s="268"/>
      <c r="G14" s="266"/>
      <c r="H14" s="255"/>
      <c r="I14" s="337"/>
      <c r="J14" s="42">
        <f t="shared" ref="J14" si="51">IF($AU$4&gt;J13,$AU$4,"")</f>
        <v>45108</v>
      </c>
      <c r="K14" s="43">
        <f t="shared" ref="K14" si="52">IF(J14="","",ROUND(K13*1.03,-2))</f>
        <v>73400</v>
      </c>
      <c r="L14" s="44">
        <f t="shared" ref="L14" si="53">IF(J14="","",L13)</f>
        <v>13</v>
      </c>
      <c r="M14" s="45" t="str">
        <f>IF(MAX(J13:J14)=J14,"",K14)</f>
        <v/>
      </c>
      <c r="N14" s="284"/>
      <c r="O14" s="327"/>
      <c r="P14" s="53">
        <f t="shared" ref="P14" si="54">IF(O13="MACP not being defined","------",IF(F13="","",IF(P13&lt;$AU$4,$AU$4,"")))</f>
        <v>45108</v>
      </c>
      <c r="Q14" s="54">
        <f t="shared" ref="Q14" si="55">IF(O13="MACP not being defined","------",IF(F13="","",IF(P14="","",ROUND(Q13*1.03,-2))))</f>
        <v>75400</v>
      </c>
      <c r="R14" s="264"/>
      <c r="S14" s="55">
        <f t="shared" ref="S14" si="56">IF(F13="","",IF(P14="","",S13))</f>
        <v>14</v>
      </c>
      <c r="T14" s="226"/>
      <c r="U14" s="253"/>
      <c r="V14" s="238"/>
      <c r="W14" s="298"/>
      <c r="X14" s="325"/>
      <c r="Y14" s="258"/>
      <c r="Z14" s="242"/>
      <c r="AB14" s="40"/>
      <c r="AD14" s="234"/>
      <c r="AE14" s="236"/>
      <c r="AF14" s="236"/>
      <c r="AG14" s="236"/>
      <c r="AH14" s="234"/>
      <c r="AI14" s="236"/>
      <c r="AJ14" s="276"/>
      <c r="AK14" s="236"/>
      <c r="AL14" s="241"/>
      <c r="AM14" s="241"/>
      <c r="AN14" s="241"/>
      <c r="AO14" s="241"/>
      <c r="AP14" s="241"/>
      <c r="AQ14" s="241"/>
      <c r="AR14" s="241"/>
      <c r="AS14" s="241"/>
      <c r="AT14" s="241"/>
      <c r="AU14" s="241"/>
      <c r="AV14" s="241"/>
      <c r="AW14" s="234"/>
      <c r="AX14" s="241"/>
      <c r="AY14" s="236"/>
      <c r="AZ14" s="241"/>
      <c r="BA14" s="49" t="str">
        <f>IF(F13="","",IF(AND(F13&lt;$AE$3,F13&lt;AB14),ROUND(MAX(BA13:BA13)*1.03,-2),""))</f>
        <v/>
      </c>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c r="CN14" s="228"/>
      <c r="CO14" s="228"/>
      <c r="CP14" s="228"/>
      <c r="CQ14" s="240"/>
      <c r="CR14" s="240"/>
      <c r="CS14" s="240"/>
      <c r="CT14" s="240"/>
      <c r="CU14" s="240"/>
      <c r="CV14" s="240"/>
      <c r="CW14" s="240"/>
      <c r="CX14" s="240"/>
      <c r="CY14" s="240"/>
      <c r="CZ14" s="240"/>
      <c r="DA14" s="240"/>
      <c r="DB14" s="240"/>
      <c r="DC14" s="240"/>
      <c r="DD14" s="240"/>
      <c r="DE14" s="240"/>
      <c r="DF14" s="240"/>
      <c r="DG14" s="240"/>
      <c r="DH14" s="240"/>
      <c r="DI14" s="240"/>
      <c r="DJ14" s="240"/>
      <c r="DK14" s="240"/>
      <c r="DL14" s="240"/>
      <c r="DM14" s="240"/>
      <c r="DN14" s="240"/>
      <c r="DO14" s="240"/>
      <c r="DP14" s="240"/>
      <c r="DQ14" s="240"/>
      <c r="DR14" s="240"/>
      <c r="DS14" s="240"/>
      <c r="DT14" s="240"/>
      <c r="DU14" s="240"/>
      <c r="DV14" s="240"/>
      <c r="DW14" s="240"/>
      <c r="DX14" s="240"/>
      <c r="DY14" s="240"/>
      <c r="DZ14" s="240"/>
      <c r="EA14" s="240"/>
      <c r="EB14" s="240"/>
      <c r="EC14" s="240"/>
      <c r="ED14" s="240"/>
    </row>
    <row r="15" spans="1:134" ht="30.75" customHeight="1">
      <c r="A15" s="242"/>
      <c r="B15" s="287"/>
      <c r="C15" s="285"/>
      <c r="D15" s="329"/>
      <c r="E15" s="304"/>
      <c r="F15" s="311"/>
      <c r="G15" s="231"/>
      <c r="H15" s="229"/>
      <c r="I15" s="259" t="str">
        <f t="shared" ref="I15" si="57">IF(F15="","",IF(F15&gt;$AE$3,F15,$AE$3))</f>
        <v/>
      </c>
      <c r="J15" s="33" t="str">
        <f t="shared" si="0"/>
        <v/>
      </c>
      <c r="K15" s="34" t="str">
        <f>IF(F15="","",AX15)</f>
        <v/>
      </c>
      <c r="L15" s="35" t="str">
        <f>IF(J15="","",AH15)</f>
        <v/>
      </c>
      <c r="M15" s="36" t="str">
        <f>IF(MAX(J15:J16)=J15,"",K15)</f>
        <v/>
      </c>
      <c r="N15" s="283" t="str">
        <f>IF(M15="",K15,MAX(M15:M16))</f>
        <v/>
      </c>
      <c r="O15" s="269" t="str">
        <f t="shared" ref="O15" si="58">IF(H15="","",IF(OR(H15&gt;12,H15&lt;12),"MACP not being defined",I15))</f>
        <v/>
      </c>
      <c r="P15" s="37" t="str">
        <f t="shared" ref="P15" si="59">IF(O15="MACP not being defined","------",IF(F15="","",O15))</f>
        <v/>
      </c>
      <c r="Q15" s="38" t="str">
        <f>IF(O15="MACP not being defined","------",IF(F15="","",MAX(BA15:BA16)))</f>
        <v/>
      </c>
      <c r="R15" s="263" t="str">
        <f t="shared" ref="R15" si="60">Q15</f>
        <v/>
      </c>
      <c r="S15" s="39" t="str">
        <f>IF(O15="MACP not being defined","------",IF(F15="","",AW15))</f>
        <v/>
      </c>
      <c r="T15" s="313" t="str">
        <f t="shared" ref="T15" si="61">IF(O15="MACP not being defined","------",IF(F15="","",O15))</f>
        <v/>
      </c>
      <c r="U15" s="302" t="str">
        <f t="shared" ref="U15" si="62">IF(O15="MACP Not Applicable","------",IF(F15="","",IF(T15="","","To")))</f>
        <v/>
      </c>
      <c r="V15" s="250">
        <v>45291</v>
      </c>
      <c r="W15" s="281">
        <v>8000</v>
      </c>
      <c r="X15" s="316">
        <v>0.05</v>
      </c>
      <c r="Y15" s="243"/>
      <c r="Z15" s="242"/>
      <c r="AB15" s="40"/>
      <c r="AD15" s="233" t="str">
        <f>IF(C15="","",H15)</f>
        <v/>
      </c>
      <c r="AE15" s="235" t="str">
        <f>IF(C15="","",G15)</f>
        <v/>
      </c>
      <c r="AF15" s="235" t="str">
        <f>IF(C15="","",ROUND(AE15*1.03,-2))</f>
        <v/>
      </c>
      <c r="AG15" s="235" t="str">
        <f>IF(D15="","",ROUND(AF15*1.03,-2))</f>
        <v/>
      </c>
      <c r="AH15" s="233" t="str">
        <f>IF(C15="","",AD15+1)</f>
        <v/>
      </c>
      <c r="AI15" s="235" t="str">
        <f>IFERROR(LOOKUP($AF15,$BC15:$CP15),"")</f>
        <v/>
      </c>
      <c r="AJ15" s="275" t="str">
        <f t="shared" ref="AJ15" si="63">IF(F15="","",F15)</f>
        <v/>
      </c>
      <c r="AK15" s="235" t="str">
        <f>IF(C15="","",IF(AF15=AI15,AI15,ROUND(AI15*1.03,-2)))</f>
        <v/>
      </c>
      <c r="AL15" s="235" t="str">
        <f t="shared" ref="AL15" si="64">IF(AL$4&lt;$AJ15,"",ROUND(MAX($AK15)*1.03,-2))</f>
        <v/>
      </c>
      <c r="AM15" s="235" t="str">
        <f>IF(AM$4&lt;$AJ15,"",ROUND(MAX($AK15:AL15)*1.03,-2))</f>
        <v/>
      </c>
      <c r="AN15" s="235" t="str">
        <f>IF(AN$4&lt;$AJ15,"",ROUND(MAX($AK15:AM15)*1.03,-2))</f>
        <v/>
      </c>
      <c r="AO15" s="235" t="str">
        <f>IF(AO$4&lt;$AJ15,"",ROUND(MAX($AK15:AN15)*1.03,-2))</f>
        <v/>
      </c>
      <c r="AP15" s="235" t="str">
        <f>IF(AP$4&lt;$AJ15,"",ROUND(MAX($AK15:AO15)*1.03,-2))</f>
        <v/>
      </c>
      <c r="AQ15" s="235" t="str">
        <f>IF(AQ$4&lt;$AJ15,"",ROUND(MAX($AK15:AP15)*1.03,-2))</f>
        <v/>
      </c>
      <c r="AR15" s="235" t="str">
        <f>IF(AR$4&lt;$AJ15,"",ROUND(MAX($AK15:AQ15)*1.03,-2))</f>
        <v/>
      </c>
      <c r="AS15" s="235" t="str">
        <f>IF(AS$4&lt;$AJ15,"",ROUND(MAX($AK15:AR15)*1.03,-2))</f>
        <v/>
      </c>
      <c r="AT15" s="235" t="str">
        <f>IF(AT$4&lt;$AJ15,"",ROUND(MAX($AK15:AS15)*1.03,-2))</f>
        <v/>
      </c>
      <c r="AU15" s="235" t="str">
        <f>IF(AU$4&lt;$AJ15,"",ROUND(MAX($AK15:AT15)*1.03,-2))</f>
        <v/>
      </c>
      <c r="AV15" s="235" t="str">
        <f t="shared" ref="AV15" si="65">IF(AT15="",AK15,IF(AT15&gt;0,AT15))</f>
        <v/>
      </c>
      <c r="AW15" s="233" t="str">
        <f>IF(C15="","",AD15+2)</f>
        <v/>
      </c>
      <c r="AX15" s="235" t="str">
        <f t="shared" ref="AX15" si="66">AV15</f>
        <v/>
      </c>
      <c r="AY15" s="235" t="str">
        <f t="shared" ref="AY15" si="67">IFERROR(LOOKUP($AX15,$CQ15:$ED15),"")</f>
        <v/>
      </c>
      <c r="AZ15" s="235" t="str">
        <f t="shared" ref="AZ15" si="68">IF(AJ15="","",IF(ROUND(AY15*1.03,-2)&gt;AU15,AY15,ROUND(AY15*1.03,-2)))</f>
        <v/>
      </c>
      <c r="BA15" s="41" t="str">
        <f>AZ15</f>
        <v/>
      </c>
      <c r="BC15" s="227" t="str">
        <f>IFERROR(VLOOKUP($AH15,Sheet1!$E$3:$AT$26,COLUMN(Sheet1!C$2),0),"")</f>
        <v/>
      </c>
      <c r="BD15" s="227" t="str">
        <f>IFERROR(VLOOKUP($AH15,Sheet1!$E$3:$AT$26,COLUMN(Sheet1!D$2),0),"")</f>
        <v/>
      </c>
      <c r="BE15" s="227" t="str">
        <f>IFERROR(VLOOKUP($AH15,Sheet1!$E$3:$AT$26,COLUMN(Sheet1!E$2),0),"")</f>
        <v/>
      </c>
      <c r="BF15" s="227" t="str">
        <f>IFERROR(VLOOKUP($AH15,Sheet1!$E$3:$AT$26,COLUMN(Sheet1!F$2),0),"")</f>
        <v/>
      </c>
      <c r="BG15" s="227" t="str">
        <f>IFERROR(VLOOKUP($AH15,Sheet1!$E$3:$AT$26,COLUMN(Sheet1!G$2),0),"")</f>
        <v/>
      </c>
      <c r="BH15" s="227" t="str">
        <f>IFERROR(VLOOKUP($AH15,Sheet1!$E$3:$AT$26,COLUMN(Sheet1!H$2),0),"")</f>
        <v/>
      </c>
      <c r="BI15" s="227" t="str">
        <f>IFERROR(VLOOKUP($AH15,Sheet1!$E$3:$AT$26,COLUMN(Sheet1!I$2),0),"")</f>
        <v/>
      </c>
      <c r="BJ15" s="227" t="str">
        <f>IFERROR(VLOOKUP($AH15,Sheet1!$E$3:$AT$26,COLUMN(Sheet1!J$2),0),"")</f>
        <v/>
      </c>
      <c r="BK15" s="227" t="str">
        <f>IFERROR(VLOOKUP($AH15,Sheet1!$E$3:$AT$26,COLUMN(Sheet1!K$2),0),"")</f>
        <v/>
      </c>
      <c r="BL15" s="227" t="str">
        <f>IFERROR(VLOOKUP($AH15,Sheet1!$E$3:$AT$26,COLUMN(Sheet1!L$2),0),"")</f>
        <v/>
      </c>
      <c r="BM15" s="227" t="str">
        <f>IFERROR(VLOOKUP($AH15,Sheet1!$E$3:$AT$26,COLUMN(Sheet1!M$2),0),"")</f>
        <v/>
      </c>
      <c r="BN15" s="227" t="str">
        <f>IFERROR(VLOOKUP($AH15,Sheet1!$E$3:$AT$26,COLUMN(Sheet1!N$2),0),"")</f>
        <v/>
      </c>
      <c r="BO15" s="227" t="str">
        <f>IFERROR(VLOOKUP($AH15,Sheet1!$E$3:$AT$26,COLUMN(Sheet1!O$2),0),"")</f>
        <v/>
      </c>
      <c r="BP15" s="227" t="str">
        <f>IFERROR(VLOOKUP($AH15,Sheet1!$E$3:$AT$26,COLUMN(Sheet1!P$2),0),"")</f>
        <v/>
      </c>
      <c r="BQ15" s="227" t="str">
        <f>IFERROR(VLOOKUP($AH15,Sheet1!$E$3:$AT$26,COLUMN(Sheet1!Q$2),0),"")</f>
        <v/>
      </c>
      <c r="BR15" s="227" t="str">
        <f>IFERROR(VLOOKUP($AH15,Sheet1!$E$3:$AT$26,COLUMN(Sheet1!R$2),0),"")</f>
        <v/>
      </c>
      <c r="BS15" s="227" t="str">
        <f>IFERROR(VLOOKUP($AH15,Sheet1!$E$3:$AT$26,COLUMN(Sheet1!S$2),0),"")</f>
        <v/>
      </c>
      <c r="BT15" s="227" t="str">
        <f>IFERROR(VLOOKUP($AH15,Sheet1!$E$3:$AT$26,COLUMN(Sheet1!T$2),0),"")</f>
        <v/>
      </c>
      <c r="BU15" s="227" t="str">
        <f>IFERROR(VLOOKUP($AH15,Sheet1!$E$3:$AT$26,COLUMN(Sheet1!U$2),0),"")</f>
        <v/>
      </c>
      <c r="BV15" s="227" t="str">
        <f>IFERROR(VLOOKUP($AH15,Sheet1!$E$3:$AT$26,COLUMN(Sheet1!V$2),0),"")</f>
        <v/>
      </c>
      <c r="BW15" s="227" t="str">
        <f>IFERROR(VLOOKUP($AH15,Sheet1!$E$3:$AT$26,COLUMN(Sheet1!W$2),0),"")</f>
        <v/>
      </c>
      <c r="BX15" s="227" t="str">
        <f>IFERROR(VLOOKUP($AH15,Sheet1!$E$3:$AT$26,COLUMN(Sheet1!X$2),0),"")</f>
        <v/>
      </c>
      <c r="BY15" s="227" t="str">
        <f>IFERROR(VLOOKUP($AH15,Sheet1!$E$3:$AT$26,COLUMN(Sheet1!Y$2),0),"")</f>
        <v/>
      </c>
      <c r="BZ15" s="227" t="str">
        <f>IFERROR(VLOOKUP($AH15,Sheet1!$E$3:$AT$26,COLUMN(Sheet1!Z$2),0),"")</f>
        <v/>
      </c>
      <c r="CA15" s="227" t="str">
        <f>IFERROR(VLOOKUP($AH15,Sheet1!$E$3:$AT$26,COLUMN(Sheet1!AA$2),0),"")</f>
        <v/>
      </c>
      <c r="CB15" s="227" t="str">
        <f>IFERROR(VLOOKUP($AH15,Sheet1!$E$3:$AT$26,COLUMN(Sheet1!AB$2),0),"")</f>
        <v/>
      </c>
      <c r="CC15" s="227" t="str">
        <f>IFERROR(VLOOKUP($AH15,Sheet1!$E$3:$AT$26,COLUMN(Sheet1!AC$2),0),"")</f>
        <v/>
      </c>
      <c r="CD15" s="227" t="str">
        <f>IFERROR(VLOOKUP($AH15,Sheet1!$E$3:$AT$26,COLUMN(Sheet1!AD$2),0),"")</f>
        <v/>
      </c>
      <c r="CE15" s="227" t="str">
        <f>IFERROR(VLOOKUP($AH15,Sheet1!$E$3:$AT$26,COLUMN(Sheet1!AE$2),0),"")</f>
        <v/>
      </c>
      <c r="CF15" s="227" t="str">
        <f>IFERROR(VLOOKUP($AH15,Sheet1!$E$3:$AT$26,COLUMN(Sheet1!AF$2),0),"")</f>
        <v/>
      </c>
      <c r="CG15" s="227" t="str">
        <f>IFERROR(VLOOKUP($AH15,Sheet1!$E$3:$AT$26,COLUMN(Sheet1!AG$2),0),"")</f>
        <v/>
      </c>
      <c r="CH15" s="227" t="str">
        <f>IFERROR(VLOOKUP($AH15,Sheet1!$E$3:$AT$26,COLUMN(Sheet1!AH$2),0),"")</f>
        <v/>
      </c>
      <c r="CI15" s="227" t="str">
        <f>IFERROR(VLOOKUP($AH15,Sheet1!$E$3:$AT$26,COLUMN(Sheet1!AI$2),0),"")</f>
        <v/>
      </c>
      <c r="CJ15" s="227" t="str">
        <f>IFERROR(VLOOKUP($AH15,Sheet1!$E$3:$AT$26,COLUMN(Sheet1!AJ$2),0),"")</f>
        <v/>
      </c>
      <c r="CK15" s="227" t="str">
        <f>IFERROR(VLOOKUP($AH15,Sheet1!$E$3:$AT$26,COLUMN(Sheet1!AK$2),0),"")</f>
        <v/>
      </c>
      <c r="CL15" s="227" t="str">
        <f>IFERROR(VLOOKUP($AH15,Sheet1!$E$3:$AT$26,COLUMN(Sheet1!AL$2),0),"")</f>
        <v/>
      </c>
      <c r="CM15" s="227" t="str">
        <f>IFERROR(VLOOKUP($AH15,Sheet1!$E$3:$AT$26,COLUMN(Sheet1!AM$2),0),"")</f>
        <v/>
      </c>
      <c r="CN15" s="227" t="str">
        <f>IFERROR(VLOOKUP($AH15,Sheet1!$E$3:$AT$26,COLUMN(Sheet1!AN$2),0),"")</f>
        <v/>
      </c>
      <c r="CO15" s="227" t="str">
        <f>IFERROR(VLOOKUP($AH15,Sheet1!$E$3:$AT$26,COLUMN(Sheet1!AO$2),0),"")</f>
        <v/>
      </c>
      <c r="CP15" s="227" t="str">
        <f>IFERROR(VLOOKUP($AH15,Sheet1!$E$3:$AT$26,COLUMN(Sheet1!AP$2),0),"")</f>
        <v/>
      </c>
      <c r="CQ15" s="239" t="str">
        <f>IFERROR(VLOOKUP($AW15,Sheet1!$E$3:$AT$26,COLUMN(Sheet1!C$2),0),"")</f>
        <v/>
      </c>
      <c r="CR15" s="239" t="str">
        <f>IFERROR(VLOOKUP($AW15,Sheet1!$E$3:$AT$26,COLUMN(Sheet1!D$2),0),"")</f>
        <v/>
      </c>
      <c r="CS15" s="239" t="str">
        <f>IFERROR(VLOOKUP($AW15,Sheet1!$E$3:$AT$26,COLUMN(Sheet1!E$2),0),"")</f>
        <v/>
      </c>
      <c r="CT15" s="239" t="str">
        <f>IFERROR(VLOOKUP($AW15,Sheet1!$E$3:$AT$26,COLUMN(Sheet1!F$2),0),"")</f>
        <v/>
      </c>
      <c r="CU15" s="239" t="str">
        <f>IFERROR(VLOOKUP($AW15,Sheet1!$E$3:$AT$26,COLUMN(Sheet1!G$2),0),"")</f>
        <v/>
      </c>
      <c r="CV15" s="239" t="str">
        <f>IFERROR(VLOOKUP($AW15,Sheet1!$E$3:$AT$26,COLUMN(Sheet1!H$2),0),"")</f>
        <v/>
      </c>
      <c r="CW15" s="239" t="str">
        <f>IFERROR(VLOOKUP($AW15,Sheet1!$E$3:$AT$26,COLUMN(Sheet1!I$2),0),"")</f>
        <v/>
      </c>
      <c r="CX15" s="239" t="str">
        <f>IFERROR(VLOOKUP($AW15,Sheet1!$E$3:$AT$26,COLUMN(Sheet1!J$2),0),"")</f>
        <v/>
      </c>
      <c r="CY15" s="239" t="str">
        <f>IFERROR(VLOOKUP($AW15,Sheet1!$E$3:$AT$26,COLUMN(Sheet1!K$2),0),"")</f>
        <v/>
      </c>
      <c r="CZ15" s="239" t="str">
        <f>IFERROR(VLOOKUP($AW15,Sheet1!$E$3:$AT$26,COLUMN(Sheet1!L$2),0),"")</f>
        <v/>
      </c>
      <c r="DA15" s="239" t="str">
        <f>IFERROR(VLOOKUP($AW15,Sheet1!$E$3:$AT$26,COLUMN(Sheet1!M$2),0),"")</f>
        <v/>
      </c>
      <c r="DB15" s="239" t="str">
        <f>IFERROR(VLOOKUP($AW15,Sheet1!$E$3:$AT$26,COLUMN(Sheet1!N$2),0),"")</f>
        <v/>
      </c>
      <c r="DC15" s="239" t="str">
        <f>IFERROR(VLOOKUP($AW15,Sheet1!$E$3:$AT$26,COLUMN(Sheet1!O$2),0),"")</f>
        <v/>
      </c>
      <c r="DD15" s="239" t="str">
        <f>IFERROR(VLOOKUP($AW15,Sheet1!$E$3:$AT$26,COLUMN(Sheet1!P$2),0),"")</f>
        <v/>
      </c>
      <c r="DE15" s="239" t="str">
        <f>IFERROR(VLOOKUP($AW15,Sheet1!$E$3:$AT$26,COLUMN(Sheet1!Q$2),0),"")</f>
        <v/>
      </c>
      <c r="DF15" s="239" t="str">
        <f>IFERROR(VLOOKUP($AW15,Sheet1!$E$3:$AT$26,COLUMN(Sheet1!R$2),0),"")</f>
        <v/>
      </c>
      <c r="DG15" s="239" t="str">
        <f>IFERROR(VLOOKUP($AW15,Sheet1!$E$3:$AT$26,COLUMN(Sheet1!S$2),0),"")</f>
        <v/>
      </c>
      <c r="DH15" s="239" t="str">
        <f>IFERROR(VLOOKUP($AW15,Sheet1!$E$3:$AT$26,COLUMN(Sheet1!T$2),0),"")</f>
        <v/>
      </c>
      <c r="DI15" s="239" t="str">
        <f>IFERROR(VLOOKUP($AW15,Sheet1!$E$3:$AT$26,COLUMN(Sheet1!U$2),0),"")</f>
        <v/>
      </c>
      <c r="DJ15" s="239" t="str">
        <f>IFERROR(VLOOKUP($AW15,Sheet1!$E$3:$AT$26,COLUMN(Sheet1!V$2),0),"")</f>
        <v/>
      </c>
      <c r="DK15" s="239" t="str">
        <f>IFERROR(VLOOKUP($AW15,Sheet1!$E$3:$AT$26,COLUMN(Sheet1!W$2),0),"")</f>
        <v/>
      </c>
      <c r="DL15" s="239" t="str">
        <f>IFERROR(VLOOKUP($AW15,Sheet1!$E$3:$AT$26,COLUMN(Sheet1!X$2),0),"")</f>
        <v/>
      </c>
      <c r="DM15" s="239" t="str">
        <f>IFERROR(VLOOKUP($AW15,Sheet1!$E$3:$AT$26,COLUMN(Sheet1!Y$2),0),"")</f>
        <v/>
      </c>
      <c r="DN15" s="239" t="str">
        <f>IFERROR(VLOOKUP($AW15,Sheet1!$E$3:$AT$26,COLUMN(Sheet1!Z$2),0),"")</f>
        <v/>
      </c>
      <c r="DO15" s="239" t="str">
        <f>IFERROR(VLOOKUP($AW15,Sheet1!$E$3:$AT$26,COLUMN(Sheet1!AA$2),0),"")</f>
        <v/>
      </c>
      <c r="DP15" s="239" t="str">
        <f>IFERROR(VLOOKUP($AW15,Sheet1!$E$3:$AT$26,COLUMN(Sheet1!AB$2),0),"")</f>
        <v/>
      </c>
      <c r="DQ15" s="239" t="str">
        <f>IFERROR(VLOOKUP($AW15,Sheet1!$E$3:$AT$26,COLUMN(Sheet1!AC$2),0),"")</f>
        <v/>
      </c>
      <c r="DR15" s="239" t="str">
        <f>IFERROR(VLOOKUP($AW15,Sheet1!$E$3:$AT$26,COLUMN(Sheet1!AD$2),0),"")</f>
        <v/>
      </c>
      <c r="DS15" s="239" t="str">
        <f>IFERROR(VLOOKUP($AW15,Sheet1!$E$3:$AT$26,COLUMN(Sheet1!AE$2),0),"")</f>
        <v/>
      </c>
      <c r="DT15" s="239" t="str">
        <f>IFERROR(VLOOKUP($AW15,Sheet1!$E$3:$AT$26,COLUMN(Sheet1!AF$2),0),"")</f>
        <v/>
      </c>
      <c r="DU15" s="239" t="str">
        <f>IFERROR(VLOOKUP($AW15,Sheet1!$E$3:$AT$26,COLUMN(Sheet1!AG$2),0),"")</f>
        <v/>
      </c>
      <c r="DV15" s="239" t="str">
        <f>IFERROR(VLOOKUP($AW15,Sheet1!$E$3:$AT$26,COLUMN(Sheet1!AH$2),0),"")</f>
        <v/>
      </c>
      <c r="DW15" s="239" t="str">
        <f>IFERROR(VLOOKUP($AW15,Sheet1!$E$3:$AT$26,COLUMN(Sheet1!AI$2),0),"")</f>
        <v/>
      </c>
      <c r="DX15" s="239" t="str">
        <f>IFERROR(VLOOKUP($AW15,Sheet1!$E$3:$AT$26,COLUMN(Sheet1!AJ$2),0),"")</f>
        <v/>
      </c>
      <c r="DY15" s="239" t="str">
        <f>IFERROR(VLOOKUP($AW15,Sheet1!$E$3:$AT$26,COLUMN(Sheet1!AK$2),0),"")</f>
        <v/>
      </c>
      <c r="DZ15" s="239" t="str">
        <f>IFERROR(VLOOKUP($AW15,Sheet1!$E$3:$AT$26,COLUMN(Sheet1!AL$2),0),"")</f>
        <v/>
      </c>
      <c r="EA15" s="239" t="str">
        <f>IFERROR(VLOOKUP($AW15,Sheet1!$E$3:$AT$26,COLUMN(Sheet1!AM$2),0),"")</f>
        <v/>
      </c>
      <c r="EB15" s="239" t="str">
        <f>IFERROR(VLOOKUP($AW15,Sheet1!$E$3:$AT$26,COLUMN(Sheet1!AN$2),0),"")</f>
        <v/>
      </c>
      <c r="EC15" s="239" t="str">
        <f>IFERROR(VLOOKUP($AW15,Sheet1!$E$3:$AT$26,COLUMN(Sheet1!AO$2),0),"")</f>
        <v/>
      </c>
      <c r="ED15" s="239" t="str">
        <f>IFERROR(VLOOKUP($AW15,Sheet1!$E$3:$AT$26,COLUMN(Sheet1!AP$2),0),"")</f>
        <v/>
      </c>
    </row>
    <row r="16" spans="1:134" ht="30.75" customHeight="1">
      <c r="A16" s="242"/>
      <c r="B16" s="288"/>
      <c r="C16" s="286"/>
      <c r="D16" s="330"/>
      <c r="E16" s="340"/>
      <c r="F16" s="331"/>
      <c r="G16" s="232"/>
      <c r="H16" s="318"/>
      <c r="I16" s="328"/>
      <c r="J16" s="42" t="str">
        <f t="shared" ref="J16" si="69">IF($AU$4&gt;J15,$AU$4,"")</f>
        <v/>
      </c>
      <c r="K16" s="43" t="str">
        <f t="shared" ref="K16" si="70">IF(J16="","",ROUND(K15*1.03,-2))</f>
        <v/>
      </c>
      <c r="L16" s="44" t="str">
        <f t="shared" ref="L16" si="71">IF(J16="","",L15)</f>
        <v/>
      </c>
      <c r="M16" s="45" t="str">
        <f>IF(MAX(J15:J16)=J16,"",K16)</f>
        <v/>
      </c>
      <c r="N16" s="284"/>
      <c r="O16" s="270"/>
      <c r="P16" s="46" t="str">
        <f t="shared" ref="P16" si="72">IF(O15="MACP not being defined","------",IF(F15="","",IF(P15&lt;$AU$4,$AU$4,"")))</f>
        <v/>
      </c>
      <c r="Q16" s="47" t="str">
        <f t="shared" ref="Q16" si="73">IF(O15="MACP not being defined","------",IF(F15="","",IF(P16="","",ROUND(Q15*1.03,-2))))</f>
        <v/>
      </c>
      <c r="R16" s="264"/>
      <c r="S16" s="48" t="str">
        <f t="shared" ref="S16" si="74">IF(F15="","",IF(P16="","",S15))</f>
        <v/>
      </c>
      <c r="T16" s="314"/>
      <c r="U16" s="303"/>
      <c r="V16" s="346"/>
      <c r="W16" s="282"/>
      <c r="X16" s="317"/>
      <c r="Y16" s="256"/>
      <c r="Z16" s="242"/>
      <c r="AB16" s="40"/>
      <c r="AD16" s="234"/>
      <c r="AE16" s="236"/>
      <c r="AF16" s="236"/>
      <c r="AG16" s="236"/>
      <c r="AH16" s="234"/>
      <c r="AI16" s="236"/>
      <c r="AJ16" s="276"/>
      <c r="AK16" s="236"/>
      <c r="AL16" s="241"/>
      <c r="AM16" s="241"/>
      <c r="AN16" s="241"/>
      <c r="AO16" s="241"/>
      <c r="AP16" s="241"/>
      <c r="AQ16" s="241"/>
      <c r="AR16" s="241"/>
      <c r="AS16" s="241"/>
      <c r="AT16" s="241"/>
      <c r="AU16" s="241"/>
      <c r="AV16" s="241"/>
      <c r="AW16" s="234"/>
      <c r="AX16" s="241"/>
      <c r="AY16" s="236"/>
      <c r="AZ16" s="241"/>
      <c r="BA16" s="49" t="str">
        <f>IF(F15="","",IF(AND(F15&lt;$AE$3,F15&lt;AB16),ROUND(MAX(BA15:BA15)*1.03,-2),""))</f>
        <v/>
      </c>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40"/>
      <c r="CR16" s="240"/>
      <c r="CS16" s="240"/>
      <c r="CT16" s="240"/>
      <c r="CU16" s="240"/>
      <c r="CV16" s="240"/>
      <c r="CW16" s="240"/>
      <c r="CX16" s="240"/>
      <c r="CY16" s="240"/>
      <c r="CZ16" s="240"/>
      <c r="DA16" s="240"/>
      <c r="DB16" s="240"/>
      <c r="DC16" s="240"/>
      <c r="DD16" s="240"/>
      <c r="DE16" s="240"/>
      <c r="DF16" s="240"/>
      <c r="DG16" s="240"/>
      <c r="DH16" s="240"/>
      <c r="DI16" s="240"/>
      <c r="DJ16" s="240"/>
      <c r="DK16" s="240"/>
      <c r="DL16" s="240"/>
      <c r="DM16" s="240"/>
      <c r="DN16" s="240"/>
      <c r="DO16" s="240"/>
      <c r="DP16" s="240"/>
      <c r="DQ16" s="240"/>
      <c r="DR16" s="240"/>
      <c r="DS16" s="240"/>
      <c r="DT16" s="240"/>
      <c r="DU16" s="240"/>
      <c r="DV16" s="240"/>
      <c r="DW16" s="240"/>
      <c r="DX16" s="240"/>
      <c r="DY16" s="240"/>
      <c r="DZ16" s="240"/>
      <c r="EA16" s="240"/>
      <c r="EB16" s="240"/>
      <c r="EC16" s="240"/>
      <c r="ED16" s="240"/>
    </row>
    <row r="17" spans="1:134" ht="30.75" customHeight="1">
      <c r="A17" s="242"/>
      <c r="B17" s="341"/>
      <c r="C17" s="271"/>
      <c r="D17" s="261"/>
      <c r="E17" s="279"/>
      <c r="F17" s="267"/>
      <c r="G17" s="265"/>
      <c r="H17" s="254"/>
      <c r="I17" s="336" t="str">
        <f t="shared" ref="I17" si="75">IF(F17="","",IF(F17&gt;$AE$3,F17,$AE$3))</f>
        <v/>
      </c>
      <c r="J17" s="33" t="str">
        <f t="shared" si="0"/>
        <v/>
      </c>
      <c r="K17" s="34" t="str">
        <f>IF(F17="","",AX17)</f>
        <v/>
      </c>
      <c r="L17" s="35" t="str">
        <f>IF(J17="","",AH17)</f>
        <v/>
      </c>
      <c r="M17" s="36" t="str">
        <f>IF(MAX(J17:J18)=J17,"",K17)</f>
        <v/>
      </c>
      <c r="N17" s="283" t="str">
        <f>IF(M17="",K17,MAX(M17:M18))</f>
        <v/>
      </c>
      <c r="O17" s="326" t="str">
        <f t="shared" ref="O17" si="76">IF(H17="","",IF(OR(H17&gt;12,H17&lt;12),"MACP not being defined",I17))</f>
        <v/>
      </c>
      <c r="P17" s="50" t="str">
        <f t="shared" ref="P17" si="77">IF(O17="MACP not being defined","------",IF(F17="","",O17))</f>
        <v/>
      </c>
      <c r="Q17" s="51" t="str">
        <f>IF(O17="MACP not being defined","------",IF(F17="","",MAX(BA17:BA18)))</f>
        <v/>
      </c>
      <c r="R17" s="263" t="str">
        <f t="shared" ref="R17" si="78">Q17</f>
        <v/>
      </c>
      <c r="S17" s="52" t="str">
        <f>IF(O17="MACP not being defined","------",IF(F17="","",AW17))</f>
        <v/>
      </c>
      <c r="T17" s="225" t="str">
        <f>IF(O17="MACP not being defined","------",IF(F17="","",O17))</f>
        <v/>
      </c>
      <c r="U17" s="252" t="str">
        <f t="shared" ref="U17" si="79">IF(O17="MACP Not Applicable","------",IF(F17="","",IF(T17="","","To")))</f>
        <v/>
      </c>
      <c r="V17" s="237">
        <v>45291</v>
      </c>
      <c r="W17" s="297">
        <v>8000</v>
      </c>
      <c r="X17" s="324">
        <v>0.05</v>
      </c>
      <c r="Y17" s="257"/>
      <c r="Z17" s="242"/>
      <c r="AB17" s="40"/>
      <c r="AD17" s="233" t="str">
        <f>IF(C17="","",H17)</f>
        <v/>
      </c>
      <c r="AE17" s="235" t="str">
        <f>IF(C17="","",G17)</f>
        <v/>
      </c>
      <c r="AF17" s="235" t="str">
        <f>IF(C17="","",ROUND(AE17*1.03,-2))</f>
        <v/>
      </c>
      <c r="AG17" s="235" t="str">
        <f>IF(D17="","",ROUND(AF17*1.03,-2))</f>
        <v/>
      </c>
      <c r="AH17" s="233" t="str">
        <f>IF(C17="","",AD17+1)</f>
        <v/>
      </c>
      <c r="AI17" s="235" t="str">
        <f>IFERROR(LOOKUP($AF17,$BC17:$CP17),"")</f>
        <v/>
      </c>
      <c r="AJ17" s="275" t="str">
        <f t="shared" ref="AJ17" si="80">IF(F17="","",F17)</f>
        <v/>
      </c>
      <c r="AK17" s="235" t="str">
        <f>IF(C17="","",IF(AF17=AI17,AI17,ROUND(AI17*1.03,-2)))</f>
        <v/>
      </c>
      <c r="AL17" s="235" t="str">
        <f t="shared" ref="AL17" si="81">IF(AL$4&lt;$AJ17,"",ROUND(MAX($AK17)*1.03,-2))</f>
        <v/>
      </c>
      <c r="AM17" s="235" t="str">
        <f>IF(AM$4&lt;$AJ17,"",ROUND(MAX($AK17:AL17)*1.03,-2))</f>
        <v/>
      </c>
      <c r="AN17" s="235" t="str">
        <f>IF(AN$4&lt;$AJ17,"",ROUND(MAX($AK17:AM17)*1.03,-2))</f>
        <v/>
      </c>
      <c r="AO17" s="235" t="str">
        <f>IF(AO$4&lt;$AJ17,"",ROUND(MAX($AK17:AN17)*1.03,-2))</f>
        <v/>
      </c>
      <c r="AP17" s="235" t="str">
        <f>IF(AP$4&lt;$AJ17,"",ROUND(MAX($AK17:AO17)*1.03,-2))</f>
        <v/>
      </c>
      <c r="AQ17" s="235" t="str">
        <f>IF(AQ$4&lt;$AJ17,"",ROUND(MAX($AK17:AP17)*1.03,-2))</f>
        <v/>
      </c>
      <c r="AR17" s="235" t="str">
        <f>IF(AR$4&lt;$AJ17,"",ROUND(MAX($AK17:AQ17)*1.03,-2))</f>
        <v/>
      </c>
      <c r="AS17" s="235" t="str">
        <f>IF(AS$4&lt;$AJ17,"",ROUND(MAX($AK17:AR17)*1.03,-2))</f>
        <v/>
      </c>
      <c r="AT17" s="235" t="str">
        <f>IF(AT$4&lt;$AJ17,"",ROUND(MAX($AK17:AS17)*1.03,-2))</f>
        <v/>
      </c>
      <c r="AU17" s="235" t="str">
        <f>IF(AU$4&lt;$AJ17,"",ROUND(MAX($AK17:AT17)*1.03,-2))</f>
        <v/>
      </c>
      <c r="AV17" s="235" t="str">
        <f t="shared" ref="AV17" si="82">IF(AT17="",AK17,IF(AT17&gt;0,AT17))</f>
        <v/>
      </c>
      <c r="AW17" s="233" t="str">
        <f>IF(C17="","",AD17+2)</f>
        <v/>
      </c>
      <c r="AX17" s="235" t="str">
        <f t="shared" ref="AX17" si="83">AV17</f>
        <v/>
      </c>
      <c r="AY17" s="235" t="str">
        <f t="shared" ref="AY17" si="84">IFERROR(LOOKUP($AX17,$CQ17:$ED17),"")</f>
        <v/>
      </c>
      <c r="AZ17" s="235" t="str">
        <f>IF(AJ17="","",IF(ROUND(AY17*1.03,-2)&gt;AU17,AY17,ROUND(AY17*1.03,-2)))</f>
        <v/>
      </c>
      <c r="BA17" s="41" t="str">
        <f>AZ17</f>
        <v/>
      </c>
      <c r="BC17" s="227" t="str">
        <f>IFERROR(VLOOKUP($AH17,Sheet1!$E$3:$AT$26,COLUMN(Sheet1!C$2),0),"")</f>
        <v/>
      </c>
      <c r="BD17" s="227" t="str">
        <f>IFERROR(VLOOKUP($AH17,Sheet1!$E$3:$AT$26,COLUMN(Sheet1!D$2),0),"")</f>
        <v/>
      </c>
      <c r="BE17" s="227" t="str">
        <f>IFERROR(VLOOKUP($AH17,Sheet1!$E$3:$AT$26,COLUMN(Sheet1!E$2),0),"")</f>
        <v/>
      </c>
      <c r="BF17" s="227" t="str">
        <f>IFERROR(VLOOKUP($AH17,Sheet1!$E$3:$AT$26,COLUMN(Sheet1!F$2),0),"")</f>
        <v/>
      </c>
      <c r="BG17" s="227" t="str">
        <f>IFERROR(VLOOKUP($AH17,Sheet1!$E$3:$AT$26,COLUMN(Sheet1!G$2),0),"")</f>
        <v/>
      </c>
      <c r="BH17" s="227" t="str">
        <f>IFERROR(VLOOKUP($AH17,Sheet1!$E$3:$AT$26,COLUMN(Sheet1!H$2),0),"")</f>
        <v/>
      </c>
      <c r="BI17" s="227" t="str">
        <f>IFERROR(VLOOKUP($AH17,Sheet1!$E$3:$AT$26,COLUMN(Sheet1!I$2),0),"")</f>
        <v/>
      </c>
      <c r="BJ17" s="227" t="str">
        <f>IFERROR(VLOOKUP($AH17,Sheet1!$E$3:$AT$26,COLUMN(Sheet1!J$2),0),"")</f>
        <v/>
      </c>
      <c r="BK17" s="227" t="str">
        <f>IFERROR(VLOOKUP($AH17,Sheet1!$E$3:$AT$26,COLUMN(Sheet1!K$2),0),"")</f>
        <v/>
      </c>
      <c r="BL17" s="227" t="str">
        <f>IFERROR(VLOOKUP($AH17,Sheet1!$E$3:$AT$26,COLUMN(Sheet1!L$2),0),"")</f>
        <v/>
      </c>
      <c r="BM17" s="227" t="str">
        <f>IFERROR(VLOOKUP($AH17,Sheet1!$E$3:$AT$26,COLUMN(Sheet1!M$2),0),"")</f>
        <v/>
      </c>
      <c r="BN17" s="227" t="str">
        <f>IFERROR(VLOOKUP($AH17,Sheet1!$E$3:$AT$26,COLUMN(Sheet1!N$2),0),"")</f>
        <v/>
      </c>
      <c r="BO17" s="227" t="str">
        <f>IFERROR(VLOOKUP($AH17,Sheet1!$E$3:$AT$26,COLUMN(Sheet1!O$2),0),"")</f>
        <v/>
      </c>
      <c r="BP17" s="227" t="str">
        <f>IFERROR(VLOOKUP($AH17,Sheet1!$E$3:$AT$26,COLUMN(Sheet1!P$2),0),"")</f>
        <v/>
      </c>
      <c r="BQ17" s="227" t="str">
        <f>IFERROR(VLOOKUP($AH17,Sheet1!$E$3:$AT$26,COLUMN(Sheet1!Q$2),0),"")</f>
        <v/>
      </c>
      <c r="BR17" s="227" t="str">
        <f>IFERROR(VLOOKUP($AH17,Sheet1!$E$3:$AT$26,COLUMN(Sheet1!R$2),0),"")</f>
        <v/>
      </c>
      <c r="BS17" s="227" t="str">
        <f>IFERROR(VLOOKUP($AH17,Sheet1!$E$3:$AT$26,COLUMN(Sheet1!S$2),0),"")</f>
        <v/>
      </c>
      <c r="BT17" s="227" t="str">
        <f>IFERROR(VLOOKUP($AH17,Sheet1!$E$3:$AT$26,COLUMN(Sheet1!T$2),0),"")</f>
        <v/>
      </c>
      <c r="BU17" s="227" t="str">
        <f>IFERROR(VLOOKUP($AH17,Sheet1!$E$3:$AT$26,COLUMN(Sheet1!U$2),0),"")</f>
        <v/>
      </c>
      <c r="BV17" s="227" t="str">
        <f>IFERROR(VLOOKUP($AH17,Sheet1!$E$3:$AT$26,COLUMN(Sheet1!V$2),0),"")</f>
        <v/>
      </c>
      <c r="BW17" s="227" t="str">
        <f>IFERROR(VLOOKUP($AH17,Sheet1!$E$3:$AT$26,COLUMN(Sheet1!W$2),0),"")</f>
        <v/>
      </c>
      <c r="BX17" s="227" t="str">
        <f>IFERROR(VLOOKUP($AH17,Sheet1!$E$3:$AT$26,COLUMN(Sheet1!X$2),0),"")</f>
        <v/>
      </c>
      <c r="BY17" s="227" t="str">
        <f>IFERROR(VLOOKUP($AH17,Sheet1!$E$3:$AT$26,COLUMN(Sheet1!Y$2),0),"")</f>
        <v/>
      </c>
      <c r="BZ17" s="227" t="str">
        <f>IFERROR(VLOOKUP($AH17,Sheet1!$E$3:$AT$26,COLUMN(Sheet1!Z$2),0),"")</f>
        <v/>
      </c>
      <c r="CA17" s="227" t="str">
        <f>IFERROR(VLOOKUP($AH17,Sheet1!$E$3:$AT$26,COLUMN(Sheet1!AA$2),0),"")</f>
        <v/>
      </c>
      <c r="CB17" s="227" t="str">
        <f>IFERROR(VLOOKUP($AH17,Sheet1!$E$3:$AT$26,COLUMN(Sheet1!AB$2),0),"")</f>
        <v/>
      </c>
      <c r="CC17" s="227" t="str">
        <f>IFERROR(VLOOKUP($AH17,Sheet1!$E$3:$AT$26,COLUMN(Sheet1!AC$2),0),"")</f>
        <v/>
      </c>
      <c r="CD17" s="227" t="str">
        <f>IFERROR(VLOOKUP($AH17,Sheet1!$E$3:$AT$26,COLUMN(Sheet1!AD$2),0),"")</f>
        <v/>
      </c>
      <c r="CE17" s="227" t="str">
        <f>IFERROR(VLOOKUP($AH17,Sheet1!$E$3:$AT$26,COLUMN(Sheet1!AE$2),0),"")</f>
        <v/>
      </c>
      <c r="CF17" s="227" t="str">
        <f>IFERROR(VLOOKUP($AH17,Sheet1!$E$3:$AT$26,COLUMN(Sheet1!AF$2),0),"")</f>
        <v/>
      </c>
      <c r="CG17" s="227" t="str">
        <f>IFERROR(VLOOKUP($AH17,Sheet1!$E$3:$AT$26,COLUMN(Sheet1!AG$2),0),"")</f>
        <v/>
      </c>
      <c r="CH17" s="227" t="str">
        <f>IFERROR(VLOOKUP($AH17,Sheet1!$E$3:$AT$26,COLUMN(Sheet1!AH$2),0),"")</f>
        <v/>
      </c>
      <c r="CI17" s="227" t="str">
        <f>IFERROR(VLOOKUP($AH17,Sheet1!$E$3:$AT$26,COLUMN(Sheet1!AI$2),0),"")</f>
        <v/>
      </c>
      <c r="CJ17" s="227" t="str">
        <f>IFERROR(VLOOKUP($AH17,Sheet1!$E$3:$AT$26,COLUMN(Sheet1!AJ$2),0),"")</f>
        <v/>
      </c>
      <c r="CK17" s="227" t="str">
        <f>IFERROR(VLOOKUP($AH17,Sheet1!$E$3:$AT$26,COLUMN(Sheet1!AK$2),0),"")</f>
        <v/>
      </c>
      <c r="CL17" s="227" t="str">
        <f>IFERROR(VLOOKUP($AH17,Sheet1!$E$3:$AT$26,COLUMN(Sheet1!AL$2),0),"")</f>
        <v/>
      </c>
      <c r="CM17" s="227" t="str">
        <f>IFERROR(VLOOKUP($AH17,Sheet1!$E$3:$AT$26,COLUMN(Sheet1!AM$2),0),"")</f>
        <v/>
      </c>
      <c r="CN17" s="227" t="str">
        <f>IFERROR(VLOOKUP($AH17,Sheet1!$E$3:$AT$26,COLUMN(Sheet1!AN$2),0),"")</f>
        <v/>
      </c>
      <c r="CO17" s="227" t="str">
        <f>IFERROR(VLOOKUP($AH17,Sheet1!$E$3:$AT$26,COLUMN(Sheet1!AO$2),0),"")</f>
        <v/>
      </c>
      <c r="CP17" s="227" t="str">
        <f>IFERROR(VLOOKUP($AH17,Sheet1!$E$3:$AT$26,COLUMN(Sheet1!AP$2),0),"")</f>
        <v/>
      </c>
      <c r="CQ17" s="239" t="str">
        <f>IFERROR(VLOOKUP($AW17,Sheet1!$E$3:$AT$26,COLUMN(Sheet1!C$2),0),"")</f>
        <v/>
      </c>
      <c r="CR17" s="239" t="str">
        <f>IFERROR(VLOOKUP($AW17,Sheet1!$E$3:$AT$26,COLUMN(Sheet1!D$2),0),"")</f>
        <v/>
      </c>
      <c r="CS17" s="239" t="str">
        <f>IFERROR(VLOOKUP($AW17,Sheet1!$E$3:$AT$26,COLUMN(Sheet1!E$2),0),"")</f>
        <v/>
      </c>
      <c r="CT17" s="239" t="str">
        <f>IFERROR(VLOOKUP($AW17,Sheet1!$E$3:$AT$26,COLUMN(Sheet1!F$2),0),"")</f>
        <v/>
      </c>
      <c r="CU17" s="239" t="str">
        <f>IFERROR(VLOOKUP($AW17,Sheet1!$E$3:$AT$26,COLUMN(Sheet1!G$2),0),"")</f>
        <v/>
      </c>
      <c r="CV17" s="239" t="str">
        <f>IFERROR(VLOOKUP($AW17,Sheet1!$E$3:$AT$26,COLUMN(Sheet1!H$2),0),"")</f>
        <v/>
      </c>
      <c r="CW17" s="239" t="str">
        <f>IFERROR(VLOOKUP($AW17,Sheet1!$E$3:$AT$26,COLUMN(Sheet1!I$2),0),"")</f>
        <v/>
      </c>
      <c r="CX17" s="239" t="str">
        <f>IFERROR(VLOOKUP($AW17,Sheet1!$E$3:$AT$26,COLUMN(Sheet1!J$2),0),"")</f>
        <v/>
      </c>
      <c r="CY17" s="239" t="str">
        <f>IFERROR(VLOOKUP($AW17,Sheet1!$E$3:$AT$26,COLUMN(Sheet1!K$2),0),"")</f>
        <v/>
      </c>
      <c r="CZ17" s="239" t="str">
        <f>IFERROR(VLOOKUP($AW17,Sheet1!$E$3:$AT$26,COLUMN(Sheet1!L$2),0),"")</f>
        <v/>
      </c>
      <c r="DA17" s="239" t="str">
        <f>IFERROR(VLOOKUP($AW17,Sheet1!$E$3:$AT$26,COLUMN(Sheet1!M$2),0),"")</f>
        <v/>
      </c>
      <c r="DB17" s="239" t="str">
        <f>IFERROR(VLOOKUP($AW17,Sheet1!$E$3:$AT$26,COLUMN(Sheet1!N$2),0),"")</f>
        <v/>
      </c>
      <c r="DC17" s="239" t="str">
        <f>IFERROR(VLOOKUP($AW17,Sheet1!$E$3:$AT$26,COLUMN(Sheet1!O$2),0),"")</f>
        <v/>
      </c>
      <c r="DD17" s="239" t="str">
        <f>IFERROR(VLOOKUP($AW17,Sheet1!$E$3:$AT$26,COLUMN(Sheet1!P$2),0),"")</f>
        <v/>
      </c>
      <c r="DE17" s="239" t="str">
        <f>IFERROR(VLOOKUP($AW17,Sheet1!$E$3:$AT$26,COLUMN(Sheet1!Q$2),0),"")</f>
        <v/>
      </c>
      <c r="DF17" s="239" t="str">
        <f>IFERROR(VLOOKUP($AW17,Sheet1!$E$3:$AT$26,COLUMN(Sheet1!R$2),0),"")</f>
        <v/>
      </c>
      <c r="DG17" s="239" t="str">
        <f>IFERROR(VLOOKUP($AW17,Sheet1!$E$3:$AT$26,COLUMN(Sheet1!S$2),0),"")</f>
        <v/>
      </c>
      <c r="DH17" s="239" t="str">
        <f>IFERROR(VLOOKUP($AW17,Sheet1!$E$3:$AT$26,COLUMN(Sheet1!T$2),0),"")</f>
        <v/>
      </c>
      <c r="DI17" s="239" t="str">
        <f>IFERROR(VLOOKUP($AW17,Sheet1!$E$3:$AT$26,COLUMN(Sheet1!U$2),0),"")</f>
        <v/>
      </c>
      <c r="DJ17" s="239" t="str">
        <f>IFERROR(VLOOKUP($AW17,Sheet1!$E$3:$AT$26,COLUMN(Sheet1!V$2),0),"")</f>
        <v/>
      </c>
      <c r="DK17" s="239" t="str">
        <f>IFERROR(VLOOKUP($AW17,Sheet1!$E$3:$AT$26,COLUMN(Sheet1!W$2),0),"")</f>
        <v/>
      </c>
      <c r="DL17" s="239" t="str">
        <f>IFERROR(VLOOKUP($AW17,Sheet1!$E$3:$AT$26,COLUMN(Sheet1!X$2),0),"")</f>
        <v/>
      </c>
      <c r="DM17" s="239" t="str">
        <f>IFERROR(VLOOKUP($AW17,Sheet1!$E$3:$AT$26,COLUMN(Sheet1!Y$2),0),"")</f>
        <v/>
      </c>
      <c r="DN17" s="239" t="str">
        <f>IFERROR(VLOOKUP($AW17,Sheet1!$E$3:$AT$26,COLUMN(Sheet1!Z$2),0),"")</f>
        <v/>
      </c>
      <c r="DO17" s="239" t="str">
        <f>IFERROR(VLOOKUP($AW17,Sheet1!$E$3:$AT$26,COLUMN(Sheet1!AA$2),0),"")</f>
        <v/>
      </c>
      <c r="DP17" s="239" t="str">
        <f>IFERROR(VLOOKUP($AW17,Sheet1!$E$3:$AT$26,COLUMN(Sheet1!AB$2),0),"")</f>
        <v/>
      </c>
      <c r="DQ17" s="239" t="str">
        <f>IFERROR(VLOOKUP($AW17,Sheet1!$E$3:$AT$26,COLUMN(Sheet1!AC$2),0),"")</f>
        <v/>
      </c>
      <c r="DR17" s="239" t="str">
        <f>IFERROR(VLOOKUP($AW17,Sheet1!$E$3:$AT$26,COLUMN(Sheet1!AD$2),0),"")</f>
        <v/>
      </c>
      <c r="DS17" s="239" t="str">
        <f>IFERROR(VLOOKUP($AW17,Sheet1!$E$3:$AT$26,COLUMN(Sheet1!AE$2),0),"")</f>
        <v/>
      </c>
      <c r="DT17" s="239" t="str">
        <f>IFERROR(VLOOKUP($AW17,Sheet1!$E$3:$AT$26,COLUMN(Sheet1!AF$2),0),"")</f>
        <v/>
      </c>
      <c r="DU17" s="239" t="str">
        <f>IFERROR(VLOOKUP($AW17,Sheet1!$E$3:$AT$26,COLUMN(Sheet1!AG$2),0),"")</f>
        <v/>
      </c>
      <c r="DV17" s="239" t="str">
        <f>IFERROR(VLOOKUP($AW17,Sheet1!$E$3:$AT$26,COLUMN(Sheet1!AH$2),0),"")</f>
        <v/>
      </c>
      <c r="DW17" s="239" t="str">
        <f>IFERROR(VLOOKUP($AW17,Sheet1!$E$3:$AT$26,COLUMN(Sheet1!AI$2),0),"")</f>
        <v/>
      </c>
      <c r="DX17" s="239" t="str">
        <f>IFERROR(VLOOKUP($AW17,Sheet1!$E$3:$AT$26,COLUMN(Sheet1!AJ$2),0),"")</f>
        <v/>
      </c>
      <c r="DY17" s="239" t="str">
        <f>IFERROR(VLOOKUP($AW17,Sheet1!$E$3:$AT$26,COLUMN(Sheet1!AK$2),0),"")</f>
        <v/>
      </c>
      <c r="DZ17" s="239" t="str">
        <f>IFERROR(VLOOKUP($AW17,Sheet1!$E$3:$AT$26,COLUMN(Sheet1!AL$2),0),"")</f>
        <v/>
      </c>
      <c r="EA17" s="239" t="str">
        <f>IFERROR(VLOOKUP($AW17,Sheet1!$E$3:$AT$26,COLUMN(Sheet1!AM$2),0),"")</f>
        <v/>
      </c>
      <c r="EB17" s="239" t="str">
        <f>IFERROR(VLOOKUP($AW17,Sheet1!$E$3:$AT$26,COLUMN(Sheet1!AN$2),0),"")</f>
        <v/>
      </c>
      <c r="EC17" s="239" t="str">
        <f>IFERROR(VLOOKUP($AW17,Sheet1!$E$3:$AT$26,COLUMN(Sheet1!AO$2),0),"")</f>
        <v/>
      </c>
      <c r="ED17" s="239" t="str">
        <f>IFERROR(VLOOKUP($AW17,Sheet1!$E$3:$AT$26,COLUMN(Sheet1!AP$2),0),"")</f>
        <v/>
      </c>
    </row>
    <row r="18" spans="1:134" ht="30.75" customHeight="1">
      <c r="A18" s="242"/>
      <c r="B18" s="341"/>
      <c r="C18" s="272"/>
      <c r="D18" s="262"/>
      <c r="E18" s="280"/>
      <c r="F18" s="268"/>
      <c r="G18" s="266"/>
      <c r="H18" s="255"/>
      <c r="I18" s="337"/>
      <c r="J18" s="42" t="str">
        <f t="shared" ref="J18" si="85">IF($AU$4&gt;J17,$AU$4,"")</f>
        <v/>
      </c>
      <c r="K18" s="43" t="str">
        <f t="shared" ref="K18" si="86">IF(J18="","",ROUND(K17*1.03,-2))</f>
        <v/>
      </c>
      <c r="L18" s="44" t="str">
        <f t="shared" ref="L18" si="87">IF(J18="","",L17)</f>
        <v/>
      </c>
      <c r="M18" s="45" t="str">
        <f>IF(MAX(J17:J18)=J18,"",K18)</f>
        <v/>
      </c>
      <c r="N18" s="284"/>
      <c r="O18" s="327"/>
      <c r="P18" s="53" t="str">
        <f t="shared" ref="P18" si="88">IF(O17="MACP not being defined","------",IF(F17="","",IF(P17&lt;$AU$4,$AU$4,"")))</f>
        <v/>
      </c>
      <c r="Q18" s="54" t="str">
        <f t="shared" ref="Q18" si="89">IF(O17="MACP not being defined","------",IF(F17="","",IF(P18="","",ROUND(Q17*1.03,-2))))</f>
        <v/>
      </c>
      <c r="R18" s="264"/>
      <c r="S18" s="55" t="str">
        <f t="shared" ref="S18" si="90">IF(F17="","",IF(P18="","",S17))</f>
        <v/>
      </c>
      <c r="T18" s="226"/>
      <c r="U18" s="253"/>
      <c r="V18" s="238"/>
      <c r="W18" s="298"/>
      <c r="X18" s="325"/>
      <c r="Y18" s="258"/>
      <c r="Z18" s="242"/>
      <c r="AB18" s="40"/>
      <c r="AD18" s="234"/>
      <c r="AE18" s="236"/>
      <c r="AF18" s="236"/>
      <c r="AG18" s="236"/>
      <c r="AH18" s="234"/>
      <c r="AI18" s="236"/>
      <c r="AJ18" s="276"/>
      <c r="AK18" s="236"/>
      <c r="AL18" s="241"/>
      <c r="AM18" s="241"/>
      <c r="AN18" s="241"/>
      <c r="AO18" s="241"/>
      <c r="AP18" s="241"/>
      <c r="AQ18" s="241"/>
      <c r="AR18" s="241"/>
      <c r="AS18" s="241"/>
      <c r="AT18" s="241"/>
      <c r="AU18" s="241"/>
      <c r="AV18" s="241"/>
      <c r="AW18" s="234"/>
      <c r="AX18" s="241"/>
      <c r="AY18" s="236"/>
      <c r="AZ18" s="241"/>
      <c r="BA18" s="49" t="str">
        <f>IF(F17="","",IF(AND(F17&lt;$AE$3,F17&lt;AB18),ROUND(MAX(BA17:BA17)*1.03,-2),""))</f>
        <v/>
      </c>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row>
    <row r="19" spans="1:134" ht="30.75" customHeight="1">
      <c r="A19" s="242"/>
      <c r="B19" s="287"/>
      <c r="C19" s="285"/>
      <c r="D19" s="329"/>
      <c r="E19" s="304"/>
      <c r="F19" s="311"/>
      <c r="G19" s="231"/>
      <c r="H19" s="229"/>
      <c r="I19" s="259" t="str">
        <f t="shared" ref="I19" si="91">IF(F19="","",IF(F19&gt;$AE$3,F19,$AE$3))</f>
        <v/>
      </c>
      <c r="J19" s="33" t="str">
        <f t="shared" si="0"/>
        <v/>
      </c>
      <c r="K19" s="34" t="str">
        <f>IF(F19="","",AX19)</f>
        <v/>
      </c>
      <c r="L19" s="35" t="str">
        <f>IF(J19="","",AH19)</f>
        <v/>
      </c>
      <c r="M19" s="36" t="str">
        <f>IF(MAX(J19:J20)=J19,"",K19)</f>
        <v/>
      </c>
      <c r="N19" s="283" t="str">
        <f>IF(M19="",K19,MAX(M19:M20))</f>
        <v/>
      </c>
      <c r="O19" s="269" t="str">
        <f t="shared" ref="O19" si="92">IF(H19="","",IF(OR(H19&gt;12,H19&lt;12),"MACP not being defined",I19))</f>
        <v/>
      </c>
      <c r="P19" s="37" t="str">
        <f t="shared" ref="P19" si="93">IF(O19="MACP not being defined","------",IF(F19="","",O19))</f>
        <v/>
      </c>
      <c r="Q19" s="38" t="str">
        <f>IF(O19="MACP not being defined","------",IF(F19="","",MAX(BA19:BA20)))</f>
        <v/>
      </c>
      <c r="R19" s="263" t="str">
        <f t="shared" ref="R19" si="94">Q19</f>
        <v/>
      </c>
      <c r="S19" s="39" t="str">
        <f>IF(O19="MACP not being defined","------",IF(F19="","",AW19))</f>
        <v/>
      </c>
      <c r="T19" s="313" t="str">
        <f t="shared" ref="T19" si="95">IF(O19="MACP not being defined","------",IF(F19="","",O19))</f>
        <v/>
      </c>
      <c r="U19" s="302" t="str">
        <f t="shared" ref="U19" si="96">IF(O19="MACP Not Applicable","------",IF(F19="","",IF(T19="","","To")))</f>
        <v/>
      </c>
      <c r="V19" s="250">
        <v>45291</v>
      </c>
      <c r="W19" s="281">
        <v>8000</v>
      </c>
      <c r="X19" s="316">
        <v>0.05</v>
      </c>
      <c r="Y19" s="243"/>
      <c r="Z19" s="242"/>
      <c r="AB19" s="40"/>
      <c r="AD19" s="233" t="str">
        <f>IF(C19="","",H19)</f>
        <v/>
      </c>
      <c r="AE19" s="235" t="str">
        <f>IF(C19="","",G19)</f>
        <v/>
      </c>
      <c r="AF19" s="235" t="str">
        <f>IF(C19="","",ROUND(AE19*1.03,-2))</f>
        <v/>
      </c>
      <c r="AG19" s="235" t="str">
        <f>IF(D19="","",ROUND(AF19*1.03,-2))</f>
        <v/>
      </c>
      <c r="AH19" s="233" t="str">
        <f>IF(C19="","",AD19+1)</f>
        <v/>
      </c>
      <c r="AI19" s="235" t="str">
        <f>IFERROR(LOOKUP($AF19,$BC19:$CP19),"")</f>
        <v/>
      </c>
      <c r="AJ19" s="275" t="str">
        <f t="shared" ref="AJ19" si="97">IF(F19="","",F19)</f>
        <v/>
      </c>
      <c r="AK19" s="235" t="str">
        <f>IF(C19="","",IF(AF19=AI19,AI19,ROUND(AI19*1.03,-2)))</f>
        <v/>
      </c>
      <c r="AL19" s="235" t="str">
        <f t="shared" ref="AL19" si="98">IF(AL$4&lt;$AJ19,"",ROUND(MAX($AK19)*1.03,-2))</f>
        <v/>
      </c>
      <c r="AM19" s="235" t="str">
        <f>IF(AM$4&lt;$AJ19,"",ROUND(MAX($AK19:AL19)*1.03,-2))</f>
        <v/>
      </c>
      <c r="AN19" s="235" t="str">
        <f>IF(AN$4&lt;$AJ19,"",ROUND(MAX($AK19:AM19)*1.03,-2))</f>
        <v/>
      </c>
      <c r="AO19" s="235" t="str">
        <f>IF(AO$4&lt;$AJ19,"",ROUND(MAX($AK19:AN19)*1.03,-2))</f>
        <v/>
      </c>
      <c r="AP19" s="235" t="str">
        <f>IF(AP$4&lt;$AJ19,"",ROUND(MAX($AK19:AO19)*1.03,-2))</f>
        <v/>
      </c>
      <c r="AQ19" s="235" t="str">
        <f>IF(AQ$4&lt;$AJ19,"",ROUND(MAX($AK19:AP19)*1.03,-2))</f>
        <v/>
      </c>
      <c r="AR19" s="235" t="str">
        <f>IF(AR$4&lt;$AJ19,"",ROUND(MAX($AK19:AQ19)*1.03,-2))</f>
        <v/>
      </c>
      <c r="AS19" s="235" t="str">
        <f>IF(AS$4&lt;$AJ19,"",ROUND(MAX($AK19:AR19)*1.03,-2))</f>
        <v/>
      </c>
      <c r="AT19" s="235" t="str">
        <f>IF(AT$4&lt;$AJ19,"",ROUND(MAX($AK19:AS19)*1.03,-2))</f>
        <v/>
      </c>
      <c r="AU19" s="235" t="str">
        <f>IF(AU$4&lt;$AJ19,"",ROUND(MAX($AK19:AT19)*1.03,-2))</f>
        <v/>
      </c>
      <c r="AV19" s="235" t="str">
        <f t="shared" ref="AV19" si="99">IF(AT19="",AK19,IF(AT19&gt;0,AT19))</f>
        <v/>
      </c>
      <c r="AW19" s="233" t="str">
        <f>IF(C19="","",AD19+2)</f>
        <v/>
      </c>
      <c r="AX19" s="235" t="str">
        <f t="shared" ref="AX19" si="100">AV19</f>
        <v/>
      </c>
      <c r="AY19" s="235" t="str">
        <f t="shared" ref="AY19" si="101">IFERROR(LOOKUP($AX19,$CQ19:$ED19),"")</f>
        <v/>
      </c>
      <c r="AZ19" s="235" t="str">
        <f t="shared" ref="AZ19" si="102">IF(AJ19="","",IF(ROUND(AY19*1.03,-2)&gt;AU19,AY19,ROUND(AY19*1.03,-2)))</f>
        <v/>
      </c>
      <c r="BA19" s="41" t="str">
        <f>AZ19</f>
        <v/>
      </c>
      <c r="BC19" s="227" t="str">
        <f>IFERROR(VLOOKUP($AH19,Sheet1!$E$3:$AT$26,COLUMN(Sheet1!C$2),0),"")</f>
        <v/>
      </c>
      <c r="BD19" s="227" t="str">
        <f>IFERROR(VLOOKUP($AH19,Sheet1!$E$3:$AT$26,COLUMN(Sheet1!D$2),0),"")</f>
        <v/>
      </c>
      <c r="BE19" s="227" t="str">
        <f>IFERROR(VLOOKUP($AH19,Sheet1!$E$3:$AT$26,COLUMN(Sheet1!E$2),0),"")</f>
        <v/>
      </c>
      <c r="BF19" s="227" t="str">
        <f>IFERROR(VLOOKUP($AH19,Sheet1!$E$3:$AT$26,COLUMN(Sheet1!F$2),0),"")</f>
        <v/>
      </c>
      <c r="BG19" s="227" t="str">
        <f>IFERROR(VLOOKUP($AH19,Sheet1!$E$3:$AT$26,COLUMN(Sheet1!G$2),0),"")</f>
        <v/>
      </c>
      <c r="BH19" s="227" t="str">
        <f>IFERROR(VLOOKUP($AH19,Sheet1!$E$3:$AT$26,COLUMN(Sheet1!H$2),0),"")</f>
        <v/>
      </c>
      <c r="BI19" s="227" t="str">
        <f>IFERROR(VLOOKUP($AH19,Sheet1!$E$3:$AT$26,COLUMN(Sheet1!I$2),0),"")</f>
        <v/>
      </c>
      <c r="BJ19" s="227" t="str">
        <f>IFERROR(VLOOKUP($AH19,Sheet1!$E$3:$AT$26,COLUMN(Sheet1!J$2),0),"")</f>
        <v/>
      </c>
      <c r="BK19" s="227" t="str">
        <f>IFERROR(VLOOKUP($AH19,Sheet1!$E$3:$AT$26,COLUMN(Sheet1!K$2),0),"")</f>
        <v/>
      </c>
      <c r="BL19" s="227" t="str">
        <f>IFERROR(VLOOKUP($AH19,Sheet1!$E$3:$AT$26,COLUMN(Sheet1!L$2),0),"")</f>
        <v/>
      </c>
      <c r="BM19" s="227" t="str">
        <f>IFERROR(VLOOKUP($AH19,Sheet1!$E$3:$AT$26,COLUMN(Sheet1!M$2),0),"")</f>
        <v/>
      </c>
      <c r="BN19" s="227" t="str">
        <f>IFERROR(VLOOKUP($AH19,Sheet1!$E$3:$AT$26,COLUMN(Sheet1!N$2),0),"")</f>
        <v/>
      </c>
      <c r="BO19" s="227" t="str">
        <f>IFERROR(VLOOKUP($AH19,Sheet1!$E$3:$AT$26,COLUMN(Sheet1!O$2),0),"")</f>
        <v/>
      </c>
      <c r="BP19" s="227" t="str">
        <f>IFERROR(VLOOKUP($AH19,Sheet1!$E$3:$AT$26,COLUMN(Sheet1!P$2),0),"")</f>
        <v/>
      </c>
      <c r="BQ19" s="227" t="str">
        <f>IFERROR(VLOOKUP($AH19,Sheet1!$E$3:$AT$26,COLUMN(Sheet1!Q$2),0),"")</f>
        <v/>
      </c>
      <c r="BR19" s="227" t="str">
        <f>IFERROR(VLOOKUP($AH19,Sheet1!$E$3:$AT$26,COLUMN(Sheet1!R$2),0),"")</f>
        <v/>
      </c>
      <c r="BS19" s="227" t="str">
        <f>IFERROR(VLOOKUP($AH19,Sheet1!$E$3:$AT$26,COLUMN(Sheet1!S$2),0),"")</f>
        <v/>
      </c>
      <c r="BT19" s="227" t="str">
        <f>IFERROR(VLOOKUP($AH19,Sheet1!$E$3:$AT$26,COLUMN(Sheet1!T$2),0),"")</f>
        <v/>
      </c>
      <c r="BU19" s="227" t="str">
        <f>IFERROR(VLOOKUP($AH19,Sheet1!$E$3:$AT$26,COLUMN(Sheet1!U$2),0),"")</f>
        <v/>
      </c>
      <c r="BV19" s="227" t="str">
        <f>IFERROR(VLOOKUP($AH19,Sheet1!$E$3:$AT$26,COLUMN(Sheet1!V$2),0),"")</f>
        <v/>
      </c>
      <c r="BW19" s="227" t="str">
        <f>IFERROR(VLOOKUP($AH19,Sheet1!$E$3:$AT$26,COLUMN(Sheet1!W$2),0),"")</f>
        <v/>
      </c>
      <c r="BX19" s="227" t="str">
        <f>IFERROR(VLOOKUP($AH19,Sheet1!$E$3:$AT$26,COLUMN(Sheet1!X$2),0),"")</f>
        <v/>
      </c>
      <c r="BY19" s="227" t="str">
        <f>IFERROR(VLOOKUP($AH19,Sheet1!$E$3:$AT$26,COLUMN(Sheet1!Y$2),0),"")</f>
        <v/>
      </c>
      <c r="BZ19" s="227" t="str">
        <f>IFERROR(VLOOKUP($AH19,Sheet1!$E$3:$AT$26,COLUMN(Sheet1!Z$2),0),"")</f>
        <v/>
      </c>
      <c r="CA19" s="227" t="str">
        <f>IFERROR(VLOOKUP($AH19,Sheet1!$E$3:$AT$26,COLUMN(Sheet1!AA$2),0),"")</f>
        <v/>
      </c>
      <c r="CB19" s="227" t="str">
        <f>IFERROR(VLOOKUP($AH19,Sheet1!$E$3:$AT$26,COLUMN(Sheet1!AB$2),0),"")</f>
        <v/>
      </c>
      <c r="CC19" s="227" t="str">
        <f>IFERROR(VLOOKUP($AH19,Sheet1!$E$3:$AT$26,COLUMN(Sheet1!AC$2),0),"")</f>
        <v/>
      </c>
      <c r="CD19" s="227" t="str">
        <f>IFERROR(VLOOKUP($AH19,Sheet1!$E$3:$AT$26,COLUMN(Sheet1!AD$2),0),"")</f>
        <v/>
      </c>
      <c r="CE19" s="227" t="str">
        <f>IFERROR(VLOOKUP($AH19,Sheet1!$E$3:$AT$26,COLUMN(Sheet1!AE$2),0),"")</f>
        <v/>
      </c>
      <c r="CF19" s="227" t="str">
        <f>IFERROR(VLOOKUP($AH19,Sheet1!$E$3:$AT$26,COLUMN(Sheet1!AF$2),0),"")</f>
        <v/>
      </c>
      <c r="CG19" s="227" t="str">
        <f>IFERROR(VLOOKUP($AH19,Sheet1!$E$3:$AT$26,COLUMN(Sheet1!AG$2),0),"")</f>
        <v/>
      </c>
      <c r="CH19" s="227" t="str">
        <f>IFERROR(VLOOKUP($AH19,Sheet1!$E$3:$AT$26,COLUMN(Sheet1!AH$2),0),"")</f>
        <v/>
      </c>
      <c r="CI19" s="227" t="str">
        <f>IFERROR(VLOOKUP($AH19,Sheet1!$E$3:$AT$26,COLUMN(Sheet1!AI$2),0),"")</f>
        <v/>
      </c>
      <c r="CJ19" s="227" t="str">
        <f>IFERROR(VLOOKUP($AH19,Sheet1!$E$3:$AT$26,COLUMN(Sheet1!AJ$2),0),"")</f>
        <v/>
      </c>
      <c r="CK19" s="227" t="str">
        <f>IFERROR(VLOOKUP($AH19,Sheet1!$E$3:$AT$26,COLUMN(Sheet1!AK$2),0),"")</f>
        <v/>
      </c>
      <c r="CL19" s="227" t="str">
        <f>IFERROR(VLOOKUP($AH19,Sheet1!$E$3:$AT$26,COLUMN(Sheet1!AL$2),0),"")</f>
        <v/>
      </c>
      <c r="CM19" s="227" t="str">
        <f>IFERROR(VLOOKUP($AH19,Sheet1!$E$3:$AT$26,COLUMN(Sheet1!AM$2),0),"")</f>
        <v/>
      </c>
      <c r="CN19" s="227" t="str">
        <f>IFERROR(VLOOKUP($AH19,Sheet1!$E$3:$AT$26,COLUMN(Sheet1!AN$2),0),"")</f>
        <v/>
      </c>
      <c r="CO19" s="227" t="str">
        <f>IFERROR(VLOOKUP($AH19,Sheet1!$E$3:$AT$26,COLUMN(Sheet1!AO$2),0),"")</f>
        <v/>
      </c>
      <c r="CP19" s="227" t="str">
        <f>IFERROR(VLOOKUP($AH19,Sheet1!$E$3:$AT$26,COLUMN(Sheet1!AP$2),0),"")</f>
        <v/>
      </c>
      <c r="CQ19" s="239" t="str">
        <f>IFERROR(VLOOKUP($AW19,Sheet1!$E$3:$AT$26,COLUMN(Sheet1!C$2),0),"")</f>
        <v/>
      </c>
      <c r="CR19" s="239" t="str">
        <f>IFERROR(VLOOKUP($AW19,Sheet1!$E$3:$AT$26,COLUMN(Sheet1!D$2),0),"")</f>
        <v/>
      </c>
      <c r="CS19" s="239" t="str">
        <f>IFERROR(VLOOKUP($AW19,Sheet1!$E$3:$AT$26,COLUMN(Sheet1!E$2),0),"")</f>
        <v/>
      </c>
      <c r="CT19" s="239" t="str">
        <f>IFERROR(VLOOKUP($AW19,Sheet1!$E$3:$AT$26,COLUMN(Sheet1!F$2),0),"")</f>
        <v/>
      </c>
      <c r="CU19" s="239" t="str">
        <f>IFERROR(VLOOKUP($AW19,Sheet1!$E$3:$AT$26,COLUMN(Sheet1!G$2),0),"")</f>
        <v/>
      </c>
      <c r="CV19" s="239" t="str">
        <f>IFERROR(VLOOKUP($AW19,Sheet1!$E$3:$AT$26,COLUMN(Sheet1!H$2),0),"")</f>
        <v/>
      </c>
      <c r="CW19" s="239" t="str">
        <f>IFERROR(VLOOKUP($AW19,Sheet1!$E$3:$AT$26,COLUMN(Sheet1!I$2),0),"")</f>
        <v/>
      </c>
      <c r="CX19" s="239" t="str">
        <f>IFERROR(VLOOKUP($AW19,Sheet1!$E$3:$AT$26,COLUMN(Sheet1!J$2),0),"")</f>
        <v/>
      </c>
      <c r="CY19" s="239" t="str">
        <f>IFERROR(VLOOKUP($AW19,Sheet1!$E$3:$AT$26,COLUMN(Sheet1!K$2),0),"")</f>
        <v/>
      </c>
      <c r="CZ19" s="239" t="str">
        <f>IFERROR(VLOOKUP($AW19,Sheet1!$E$3:$AT$26,COLUMN(Sheet1!L$2),0),"")</f>
        <v/>
      </c>
      <c r="DA19" s="239" t="str">
        <f>IFERROR(VLOOKUP($AW19,Sheet1!$E$3:$AT$26,COLUMN(Sheet1!M$2),0),"")</f>
        <v/>
      </c>
      <c r="DB19" s="239" t="str">
        <f>IFERROR(VLOOKUP($AW19,Sheet1!$E$3:$AT$26,COLUMN(Sheet1!N$2),0),"")</f>
        <v/>
      </c>
      <c r="DC19" s="239" t="str">
        <f>IFERROR(VLOOKUP($AW19,Sheet1!$E$3:$AT$26,COLUMN(Sheet1!O$2),0),"")</f>
        <v/>
      </c>
      <c r="DD19" s="239" t="str">
        <f>IFERROR(VLOOKUP($AW19,Sheet1!$E$3:$AT$26,COLUMN(Sheet1!P$2),0),"")</f>
        <v/>
      </c>
      <c r="DE19" s="239" t="str">
        <f>IFERROR(VLOOKUP($AW19,Sheet1!$E$3:$AT$26,COLUMN(Sheet1!Q$2),0),"")</f>
        <v/>
      </c>
      <c r="DF19" s="239" t="str">
        <f>IFERROR(VLOOKUP($AW19,Sheet1!$E$3:$AT$26,COLUMN(Sheet1!R$2),0),"")</f>
        <v/>
      </c>
      <c r="DG19" s="239" t="str">
        <f>IFERROR(VLOOKUP($AW19,Sheet1!$E$3:$AT$26,COLUMN(Sheet1!S$2),0),"")</f>
        <v/>
      </c>
      <c r="DH19" s="239" t="str">
        <f>IFERROR(VLOOKUP($AW19,Sheet1!$E$3:$AT$26,COLUMN(Sheet1!T$2),0),"")</f>
        <v/>
      </c>
      <c r="DI19" s="239" t="str">
        <f>IFERROR(VLOOKUP($AW19,Sheet1!$E$3:$AT$26,COLUMN(Sheet1!U$2),0),"")</f>
        <v/>
      </c>
      <c r="DJ19" s="239" t="str">
        <f>IFERROR(VLOOKUP($AW19,Sheet1!$E$3:$AT$26,COLUMN(Sheet1!V$2),0),"")</f>
        <v/>
      </c>
      <c r="DK19" s="239" t="str">
        <f>IFERROR(VLOOKUP($AW19,Sheet1!$E$3:$AT$26,COLUMN(Sheet1!W$2),0),"")</f>
        <v/>
      </c>
      <c r="DL19" s="239" t="str">
        <f>IFERROR(VLOOKUP($AW19,Sheet1!$E$3:$AT$26,COLUMN(Sheet1!X$2),0),"")</f>
        <v/>
      </c>
      <c r="DM19" s="239" t="str">
        <f>IFERROR(VLOOKUP($AW19,Sheet1!$E$3:$AT$26,COLUMN(Sheet1!Y$2),0),"")</f>
        <v/>
      </c>
      <c r="DN19" s="239" t="str">
        <f>IFERROR(VLOOKUP($AW19,Sheet1!$E$3:$AT$26,COLUMN(Sheet1!Z$2),0),"")</f>
        <v/>
      </c>
      <c r="DO19" s="239" t="str">
        <f>IFERROR(VLOOKUP($AW19,Sheet1!$E$3:$AT$26,COLUMN(Sheet1!AA$2),0),"")</f>
        <v/>
      </c>
      <c r="DP19" s="239" t="str">
        <f>IFERROR(VLOOKUP($AW19,Sheet1!$E$3:$AT$26,COLUMN(Sheet1!AB$2),0),"")</f>
        <v/>
      </c>
      <c r="DQ19" s="239" t="str">
        <f>IFERROR(VLOOKUP($AW19,Sheet1!$E$3:$AT$26,COLUMN(Sheet1!AC$2),0),"")</f>
        <v/>
      </c>
      <c r="DR19" s="239" t="str">
        <f>IFERROR(VLOOKUP($AW19,Sheet1!$E$3:$AT$26,COLUMN(Sheet1!AD$2),0),"")</f>
        <v/>
      </c>
      <c r="DS19" s="239" t="str">
        <f>IFERROR(VLOOKUP($AW19,Sheet1!$E$3:$AT$26,COLUMN(Sheet1!AE$2),0),"")</f>
        <v/>
      </c>
      <c r="DT19" s="239" t="str">
        <f>IFERROR(VLOOKUP($AW19,Sheet1!$E$3:$AT$26,COLUMN(Sheet1!AF$2),0),"")</f>
        <v/>
      </c>
      <c r="DU19" s="239" t="str">
        <f>IFERROR(VLOOKUP($AW19,Sheet1!$E$3:$AT$26,COLUMN(Sheet1!AG$2),0),"")</f>
        <v/>
      </c>
      <c r="DV19" s="239" t="str">
        <f>IFERROR(VLOOKUP($AW19,Sheet1!$E$3:$AT$26,COLUMN(Sheet1!AH$2),0),"")</f>
        <v/>
      </c>
      <c r="DW19" s="239" t="str">
        <f>IFERROR(VLOOKUP($AW19,Sheet1!$E$3:$AT$26,COLUMN(Sheet1!AI$2),0),"")</f>
        <v/>
      </c>
      <c r="DX19" s="239" t="str">
        <f>IFERROR(VLOOKUP($AW19,Sheet1!$E$3:$AT$26,COLUMN(Sheet1!AJ$2),0),"")</f>
        <v/>
      </c>
      <c r="DY19" s="239" t="str">
        <f>IFERROR(VLOOKUP($AW19,Sheet1!$E$3:$AT$26,COLUMN(Sheet1!AK$2),0),"")</f>
        <v/>
      </c>
      <c r="DZ19" s="239" t="str">
        <f>IFERROR(VLOOKUP($AW19,Sheet1!$E$3:$AT$26,COLUMN(Sheet1!AL$2),0),"")</f>
        <v/>
      </c>
      <c r="EA19" s="239" t="str">
        <f>IFERROR(VLOOKUP($AW19,Sheet1!$E$3:$AT$26,COLUMN(Sheet1!AM$2),0),"")</f>
        <v/>
      </c>
      <c r="EB19" s="239" t="str">
        <f>IFERROR(VLOOKUP($AW19,Sheet1!$E$3:$AT$26,COLUMN(Sheet1!AN$2),0),"")</f>
        <v/>
      </c>
      <c r="EC19" s="239" t="str">
        <f>IFERROR(VLOOKUP($AW19,Sheet1!$E$3:$AT$26,COLUMN(Sheet1!AO$2),0),"")</f>
        <v/>
      </c>
      <c r="ED19" s="239" t="str">
        <f>IFERROR(VLOOKUP($AW19,Sheet1!$E$3:$AT$26,COLUMN(Sheet1!AP$2),0),"")</f>
        <v/>
      </c>
    </row>
    <row r="20" spans="1:134" ht="30.75" customHeight="1">
      <c r="A20" s="242"/>
      <c r="B20" s="288"/>
      <c r="C20" s="347"/>
      <c r="D20" s="345"/>
      <c r="E20" s="305"/>
      <c r="F20" s="312"/>
      <c r="G20" s="363"/>
      <c r="H20" s="230"/>
      <c r="I20" s="260"/>
      <c r="J20" s="42" t="str">
        <f t="shared" ref="J20" si="103">IF($AU$4&gt;J19,$AU$4,"")</f>
        <v/>
      </c>
      <c r="K20" s="43" t="str">
        <f t="shared" ref="K20" si="104">IF(J20="","",ROUND(K19*1.03,-2))</f>
        <v/>
      </c>
      <c r="L20" s="44" t="str">
        <f t="shared" ref="L20" si="105">IF(J20="","",L19)</f>
        <v/>
      </c>
      <c r="M20" s="56" t="str">
        <f>IF(MAX(J19:J20)=J20,"",K20)</f>
        <v/>
      </c>
      <c r="N20" s="294"/>
      <c r="O20" s="333"/>
      <c r="P20" s="57" t="str">
        <f t="shared" ref="P20" si="106">IF(O19="MACP not being defined","------",IF(F19="","",IF(P19&lt;$AU$4,$AU$4,"")))</f>
        <v/>
      </c>
      <c r="Q20" s="58" t="str">
        <f t="shared" ref="Q20" si="107">IF(O19="MACP not being defined","------",IF(F19="","",IF(P20="","",ROUND(Q19*1.03,-2))))</f>
        <v/>
      </c>
      <c r="R20" s="372"/>
      <c r="S20" s="59" t="str">
        <f t="shared" ref="S20" si="108">IF(F19="","",IF(P20="","",S19))</f>
        <v/>
      </c>
      <c r="T20" s="315"/>
      <c r="U20" s="360"/>
      <c r="V20" s="251"/>
      <c r="W20" s="342"/>
      <c r="X20" s="332"/>
      <c r="Y20" s="244"/>
      <c r="Z20" s="242"/>
      <c r="AB20" s="40"/>
      <c r="AD20" s="234"/>
      <c r="AE20" s="236"/>
      <c r="AF20" s="236"/>
      <c r="AG20" s="236"/>
      <c r="AH20" s="234"/>
      <c r="AI20" s="236"/>
      <c r="AJ20" s="276"/>
      <c r="AK20" s="236"/>
      <c r="AL20" s="241"/>
      <c r="AM20" s="241"/>
      <c r="AN20" s="241"/>
      <c r="AO20" s="241"/>
      <c r="AP20" s="241"/>
      <c r="AQ20" s="241"/>
      <c r="AR20" s="241"/>
      <c r="AS20" s="241"/>
      <c r="AT20" s="241"/>
      <c r="AU20" s="241"/>
      <c r="AV20" s="241"/>
      <c r="AW20" s="234"/>
      <c r="AX20" s="241"/>
      <c r="AY20" s="236"/>
      <c r="AZ20" s="241"/>
      <c r="BA20" s="49" t="str">
        <f>IF(F19="","",IF(AND(F19&lt;$AE$3,F19&lt;AB20),ROUND(MAX(BA19:BA19)*1.03,-2),""))</f>
        <v/>
      </c>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row>
    <row r="21" spans="1:134" ht="15" customHeight="1">
      <c r="A21" s="242"/>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60"/>
      <c r="Z21" s="242"/>
    </row>
    <row r="22" spans="1:134" ht="15" hidden="1" customHeight="1">
      <c r="Y22" s="61">
        <f>'Salary Arear Table'!U11</f>
        <v>45017</v>
      </c>
    </row>
    <row r="23" spans="1:134" ht="15" hidden="1" customHeight="1">
      <c r="Y23" s="61">
        <f>'Salary Arear Table'!U12</f>
        <v>45048</v>
      </c>
    </row>
    <row r="24" spans="1:134" ht="15" hidden="1" customHeight="1">
      <c r="Y24" s="61">
        <f>'Salary Arear Table'!U13</f>
        <v>45079</v>
      </c>
    </row>
    <row r="25" spans="1:134" ht="15" hidden="1" customHeight="1">
      <c r="Y25" s="61">
        <f>'Salary Arear Table'!U14</f>
        <v>45110</v>
      </c>
    </row>
    <row r="26" spans="1:134" ht="15" hidden="1" customHeight="1">
      <c r="Y26" s="61">
        <f>'Salary Arear Table'!U15</f>
        <v>45141</v>
      </c>
    </row>
    <row r="27" spans="1:134" ht="15" hidden="1" customHeight="1">
      <c r="Y27" s="61">
        <f>'Salary Arear Table'!U16</f>
        <v>45172</v>
      </c>
    </row>
    <row r="28" spans="1:134" ht="15" hidden="1" customHeight="1">
      <c r="Y28" s="61">
        <f>'Salary Arear Table'!U17</f>
        <v>45203</v>
      </c>
    </row>
    <row r="29" spans="1:134" ht="15" hidden="1" customHeight="1">
      <c r="Y29" s="61">
        <f>'Salary Arear Table'!U18</f>
        <v>45234</v>
      </c>
    </row>
    <row r="30" spans="1:134" ht="15" hidden="1" customHeight="1">
      <c r="Y30" s="61">
        <f>'Salary Arear Table'!U19</f>
        <v>45265</v>
      </c>
    </row>
    <row r="31" spans="1:134" ht="15" hidden="1" customHeight="1">
      <c r="Y31" s="61"/>
    </row>
    <row r="32" spans="1:134" ht="15" hidden="1" customHeight="1">
      <c r="Y32" s="61"/>
    </row>
    <row r="33" spans="25:25" ht="15" hidden="1" customHeight="1">
      <c r="Y33" s="61"/>
    </row>
    <row r="34" spans="25:25" ht="15" hidden="1" customHeight="1">
      <c r="Y34" s="61"/>
    </row>
    <row r="35" spans="25:25" ht="15" hidden="1" customHeight="1"/>
    <row r="36" spans="25:25" ht="15" hidden="1" customHeight="1"/>
    <row r="37" spans="25:25" ht="15" hidden="1" customHeight="1"/>
    <row r="38" spans="25:25" ht="15" hidden="1" customHeight="1"/>
    <row r="39" spans="25:25" ht="15" hidden="1" customHeight="1"/>
    <row r="40" spans="25:25" ht="15" hidden="1" customHeight="1"/>
    <row r="41" spans="25:25" ht="15" hidden="1" customHeight="1"/>
    <row r="42" spans="25:25" ht="15" hidden="1" customHeight="1"/>
    <row r="43" spans="25:25" ht="15" hidden="1" customHeight="1"/>
    <row r="44" spans="25:25" ht="15" hidden="1" customHeight="1"/>
    <row r="45" spans="25:25" ht="15" hidden="1" customHeight="1"/>
    <row r="46" spans="25:25" ht="15" hidden="1" customHeight="1"/>
    <row r="47" spans="25:25" ht="15" hidden="1" customHeight="1"/>
    <row r="48" spans="25:25"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sheetData>
  <sheetProtection password="E8FA" sheet="1" objects="1" scenarios="1" formatCells="0" formatColumns="0" formatRows="0" selectLockedCells="1"/>
  <mergeCells count="869">
    <mergeCell ref="EA9:EA10"/>
    <mergeCell ref="B1:Y1"/>
    <mergeCell ref="B2:Y2"/>
    <mergeCell ref="AZ7:AZ8"/>
    <mergeCell ref="T3:V4"/>
    <mergeCell ref="AZ15:AZ16"/>
    <mergeCell ref="AZ9:AZ10"/>
    <mergeCell ref="AZ19:AZ20"/>
    <mergeCell ref="AK19:AK20"/>
    <mergeCell ref="DX19:DX20"/>
    <mergeCell ref="AH19:AH20"/>
    <mergeCell ref="AG19:AG20"/>
    <mergeCell ref="DX9:DX10"/>
    <mergeCell ref="DL9:DL10"/>
    <mergeCell ref="DI9:DI10"/>
    <mergeCell ref="DN13:DN14"/>
    <mergeCell ref="DY15:DY16"/>
    <mergeCell ref="DS17:DS18"/>
    <mergeCell ref="DQ17:DQ18"/>
    <mergeCell ref="DP17:DP18"/>
    <mergeCell ref="CY13:CY14"/>
    <mergeCell ref="DH9:DH10"/>
    <mergeCell ref="DU17:DU18"/>
    <mergeCell ref="EA15:EA16"/>
    <mergeCell ref="DU19:DU20"/>
    <mergeCell ref="DP15:DP16"/>
    <mergeCell ref="DW19:DW20"/>
    <mergeCell ref="DW15:DW16"/>
    <mergeCell ref="DY19:DY20"/>
    <mergeCell ref="BX17:BX18"/>
    <mergeCell ref="CR19:CR20"/>
    <mergeCell ref="ED13:ED14"/>
    <mergeCell ref="DJ19:DJ20"/>
    <mergeCell ref="EB15:EB16"/>
    <mergeCell ref="DB17:DB18"/>
    <mergeCell ref="CN15:CN16"/>
    <mergeCell ref="CS19:CS20"/>
    <mergeCell ref="EC19:EC20"/>
    <mergeCell ref="DS13:DS14"/>
    <mergeCell ref="DM17:DM18"/>
    <mergeCell ref="ED15:ED16"/>
    <mergeCell ref="CL13:CL14"/>
    <mergeCell ref="CQ13:CQ14"/>
    <mergeCell ref="EC17:EC18"/>
    <mergeCell ref="ED17:ED18"/>
    <mergeCell ref="DC7:DC8"/>
    <mergeCell ref="CU19:CU20"/>
    <mergeCell ref="CD9:CD10"/>
    <mergeCell ref="EA17:EA18"/>
    <mergeCell ref="DL7:DL8"/>
    <mergeCell ref="CI9:CI10"/>
    <mergeCell ref="CB7:CB8"/>
    <mergeCell ref="CX11:CX12"/>
    <mergeCell ref="CY19:CY20"/>
    <mergeCell ref="DM19:DM20"/>
    <mergeCell ref="DT19:DT20"/>
    <mergeCell ref="DZ17:DZ18"/>
    <mergeCell ref="EB17:EB18"/>
    <mergeCell ref="CK11:CK12"/>
    <mergeCell ref="DI19:DI20"/>
    <mergeCell ref="DZ19:DZ20"/>
    <mergeCell ref="DD7:DD8"/>
    <mergeCell ref="CM9:CM10"/>
    <mergeCell ref="CY7:CY8"/>
    <mergeCell ref="DY17:DY18"/>
    <mergeCell ref="DR19:DR20"/>
    <mergeCell ref="DN19:DN20"/>
    <mergeCell ref="B5:B6"/>
    <mergeCell ref="D7:D8"/>
    <mergeCell ref="AF9:AF10"/>
    <mergeCell ref="CC7:CC8"/>
    <mergeCell ref="D9:D10"/>
    <mergeCell ref="AD13:AD14"/>
    <mergeCell ref="I3:S4"/>
    <mergeCell ref="CQ9:CQ10"/>
    <mergeCell ref="BL7:BL8"/>
    <mergeCell ref="Y9:Y10"/>
    <mergeCell ref="R9:R10"/>
    <mergeCell ref="R11:R12"/>
    <mergeCell ref="BX7:BX8"/>
    <mergeCell ref="BR7:BR8"/>
    <mergeCell ref="AV7:AV8"/>
    <mergeCell ref="AX13:AX14"/>
    <mergeCell ref="BF9:BF10"/>
    <mergeCell ref="Y13:Y14"/>
    <mergeCell ref="AV9:AV10"/>
    <mergeCell ref="BJ7:BJ8"/>
    <mergeCell ref="BN7:BN8"/>
    <mergeCell ref="BH7:BH8"/>
    <mergeCell ref="AM9:AM10"/>
    <mergeCell ref="AL13:AL14"/>
    <mergeCell ref="DY7:DY8"/>
    <mergeCell ref="DX7:DX8"/>
    <mergeCell ref="DW7:DW8"/>
    <mergeCell ref="DT9:DT10"/>
    <mergeCell ref="CD11:CD12"/>
    <mergeCell ref="BZ9:BZ10"/>
    <mergeCell ref="DU11:DU12"/>
    <mergeCell ref="DW17:DW18"/>
    <mergeCell ref="DX17:DX18"/>
    <mergeCell ref="CL9:CL10"/>
    <mergeCell ref="CZ7:CZ8"/>
    <mergeCell ref="CX13:CX14"/>
    <mergeCell ref="CW13:CW14"/>
    <mergeCell ref="CT13:CT14"/>
    <mergeCell ref="CT11:CT12"/>
    <mergeCell ref="CS11:CS12"/>
    <mergeCell ref="CM11:CM12"/>
    <mergeCell ref="DE9:DE10"/>
    <mergeCell ref="CC9:CC10"/>
    <mergeCell ref="CG9:CG10"/>
    <mergeCell ref="CS9:CS10"/>
    <mergeCell ref="CJ15:CJ16"/>
    <mergeCell ref="DI7:DI8"/>
    <mergeCell ref="DY11:DY12"/>
    <mergeCell ref="D3:H3"/>
    <mergeCell ref="H9:H10"/>
    <mergeCell ref="G9:G10"/>
    <mergeCell ref="F9:F10"/>
    <mergeCell ref="U9:U10"/>
    <mergeCell ref="BE7:BE8"/>
    <mergeCell ref="AV19:AV20"/>
    <mergeCell ref="J5:L5"/>
    <mergeCell ref="DV19:DV20"/>
    <mergeCell ref="AL19:AL20"/>
    <mergeCell ref="F5:F6"/>
    <mergeCell ref="V15:V16"/>
    <mergeCell ref="AI9:AI10"/>
    <mergeCell ref="I17:I18"/>
    <mergeCell ref="W7:W8"/>
    <mergeCell ref="AG7:AG8"/>
    <mergeCell ref="U7:U8"/>
    <mergeCell ref="BL11:BL12"/>
    <mergeCell ref="DA13:DA14"/>
    <mergeCell ref="DP13:DP14"/>
    <mergeCell ref="CH9:CH10"/>
    <mergeCell ref="DG7:DG8"/>
    <mergeCell ref="BS7:BS8"/>
    <mergeCell ref="BF7:BF8"/>
    <mergeCell ref="DX11:DX12"/>
    <mergeCell ref="AY9:AY10"/>
    <mergeCell ref="AM7:AM8"/>
    <mergeCell ref="AS7:AS8"/>
    <mergeCell ref="DV13:DV14"/>
    <mergeCell ref="B21:X21"/>
    <mergeCell ref="AH11:AH12"/>
    <mergeCell ref="AR15:AR16"/>
    <mergeCell ref="BK7:BK8"/>
    <mergeCell ref="I9:I10"/>
    <mergeCell ref="BG7:BG8"/>
    <mergeCell ref="BC7:BC8"/>
    <mergeCell ref="U19:U20"/>
    <mergeCell ref="AX11:AX12"/>
    <mergeCell ref="D11:D12"/>
    <mergeCell ref="BR9:BR10"/>
    <mergeCell ref="X13:X14"/>
    <mergeCell ref="BK9:BK10"/>
    <mergeCell ref="AW11:AW12"/>
    <mergeCell ref="BX9:BX10"/>
    <mergeCell ref="X11:X12"/>
    <mergeCell ref="AW13:AW14"/>
    <mergeCell ref="G19:G20"/>
    <mergeCell ref="C11:C12"/>
    <mergeCell ref="DW9:DW10"/>
    <mergeCell ref="BP9:BP10"/>
    <mergeCell ref="CK15:CK16"/>
    <mergeCell ref="BX15:BX16"/>
    <mergeCell ref="DR9:DR10"/>
    <mergeCell ref="DT13:DT14"/>
    <mergeCell ref="DP11:DP12"/>
    <mergeCell ref="DT11:DT12"/>
    <mergeCell ref="DS11:DS12"/>
    <mergeCell ref="DO13:DO14"/>
    <mergeCell ref="DS9:DS10"/>
    <mergeCell ref="CA15:CA16"/>
    <mergeCell ref="DO9:DO10"/>
    <mergeCell ref="DM9:DM10"/>
    <mergeCell ref="CF9:CF10"/>
    <mergeCell ref="DH15:DH16"/>
    <mergeCell ref="DW11:DW12"/>
    <mergeCell ref="DV11:DV12"/>
    <mergeCell ref="DW13:DW14"/>
    <mergeCell ref="DK9:DK10"/>
    <mergeCell ref="DP9:DP10"/>
    <mergeCell ref="DQ9:DQ10"/>
    <mergeCell ref="I5:I6"/>
    <mergeCell ref="C5:C6"/>
    <mergeCell ref="CA9:CA10"/>
    <mergeCell ref="CR15:CR16"/>
    <mergeCell ref="CE15:CE16"/>
    <mergeCell ref="CI15:CI16"/>
    <mergeCell ref="BZ15:BZ16"/>
    <mergeCell ref="CO15:CO16"/>
    <mergeCell ref="DL11:DL12"/>
    <mergeCell ref="AU11:AU12"/>
    <mergeCell ref="AN7:AN8"/>
    <mergeCell ref="AY7:AY8"/>
    <mergeCell ref="BG15:BG16"/>
    <mergeCell ref="BI15:BI16"/>
    <mergeCell ref="X7:X8"/>
    <mergeCell ref="AU13:AU14"/>
    <mergeCell ref="V9:V10"/>
    <mergeCell ref="AE7:AE8"/>
    <mergeCell ref="AF7:AF8"/>
    <mergeCell ref="AT11:AT12"/>
    <mergeCell ref="G5:H5"/>
    <mergeCell ref="E5:E6"/>
    <mergeCell ref="AL7:AL8"/>
    <mergeCell ref="BQ7:BQ8"/>
    <mergeCell ref="CN7:CN8"/>
    <mergeCell ref="CM7:CM8"/>
    <mergeCell ref="AO11:AO12"/>
    <mergeCell ref="CF15:CF16"/>
    <mergeCell ref="BW7:BW8"/>
    <mergeCell ref="AU15:AU16"/>
    <mergeCell ref="T9:T10"/>
    <mergeCell ref="H7:H8"/>
    <mergeCell ref="G7:G8"/>
    <mergeCell ref="V7:V8"/>
    <mergeCell ref="AT13:AT14"/>
    <mergeCell ref="AU9:AU10"/>
    <mergeCell ref="AS9:AS10"/>
    <mergeCell ref="AD7:AD8"/>
    <mergeCell ref="R15:R16"/>
    <mergeCell ref="AN15:AN16"/>
    <mergeCell ref="AN9:AN10"/>
    <mergeCell ref="AO9:AO10"/>
    <mergeCell ref="AE19:AE20"/>
    <mergeCell ref="AS17:AS18"/>
    <mergeCell ref="AT19:AT20"/>
    <mergeCell ref="CU15:CU16"/>
    <mergeCell ref="AF19:AF20"/>
    <mergeCell ref="F13:F14"/>
    <mergeCell ref="AS19:AS20"/>
    <mergeCell ref="E15:E16"/>
    <mergeCell ref="AS13:AS14"/>
    <mergeCell ref="BE15:BE16"/>
    <mergeCell ref="U13:U14"/>
    <mergeCell ref="W17:W18"/>
    <mergeCell ref="AD19:AD20"/>
    <mergeCell ref="X17:X18"/>
    <mergeCell ref="BO19:BO20"/>
    <mergeCell ref="R19:R20"/>
    <mergeCell ref="BK19:BK20"/>
    <mergeCell ref="BL19:BL20"/>
    <mergeCell ref="BQ19:BQ20"/>
    <mergeCell ref="BP19:BP20"/>
    <mergeCell ref="BJ19:BJ20"/>
    <mergeCell ref="BX19:BX20"/>
    <mergeCell ref="BT19:BT20"/>
    <mergeCell ref="BV19:BV20"/>
    <mergeCell ref="AY19:AY20"/>
    <mergeCell ref="AO7:AO8"/>
    <mergeCell ref="AX19:AX20"/>
    <mergeCell ref="BG9:BG10"/>
    <mergeCell ref="I13:I14"/>
    <mergeCell ref="BI7:BI8"/>
    <mergeCell ref="D5:D6"/>
    <mergeCell ref="BF15:BF16"/>
    <mergeCell ref="AQ7:AQ8"/>
    <mergeCell ref="AW9:AW10"/>
    <mergeCell ref="AT7:AT8"/>
    <mergeCell ref="AX7:AX8"/>
    <mergeCell ref="AW7:AW8"/>
    <mergeCell ref="AF13:AF14"/>
    <mergeCell ref="E7:E8"/>
    <mergeCell ref="W19:W20"/>
    <mergeCell ref="AU19:AU20"/>
    <mergeCell ref="AT17:AT18"/>
    <mergeCell ref="AF17:AF18"/>
    <mergeCell ref="AU17:AU18"/>
    <mergeCell ref="F11:F12"/>
    <mergeCell ref="W15:W16"/>
    <mergeCell ref="D19:D20"/>
    <mergeCell ref="I15:I16"/>
    <mergeCell ref="AH5:AU5"/>
    <mergeCell ref="AQ15:AQ16"/>
    <mergeCell ref="AZ11:AZ12"/>
    <mergeCell ref="BO17:BO18"/>
    <mergeCell ref="AJ17:AJ18"/>
    <mergeCell ref="W13:W14"/>
    <mergeCell ref="AI7:AI8"/>
    <mergeCell ref="T15:T16"/>
    <mergeCell ref="AN11:AN12"/>
    <mergeCell ref="AK11:AK12"/>
    <mergeCell ref="AI11:AI12"/>
    <mergeCell ref="U15:U16"/>
    <mergeCell ref="AP13:AP14"/>
    <mergeCell ref="AP17:AP18"/>
    <mergeCell ref="AS11:AS12"/>
    <mergeCell ref="V11:V12"/>
    <mergeCell ref="AE15:AE16"/>
    <mergeCell ref="AF15:AF16"/>
    <mergeCell ref="AE11:AE12"/>
    <mergeCell ref="AD17:AD18"/>
    <mergeCell ref="AD15:AD16"/>
    <mergeCell ref="AO17:AO18"/>
    <mergeCell ref="BN17:BN18"/>
    <mergeCell ref="I7:I8"/>
    <mergeCell ref="E9:E10"/>
    <mergeCell ref="C9:C10"/>
    <mergeCell ref="D15:D16"/>
    <mergeCell ref="F15:F16"/>
    <mergeCell ref="X19:X20"/>
    <mergeCell ref="O19:O20"/>
    <mergeCell ref="B7:B8"/>
    <mergeCell ref="AD11:AD12"/>
    <mergeCell ref="V13:V14"/>
    <mergeCell ref="R7:R8"/>
    <mergeCell ref="R17:R18"/>
    <mergeCell ref="E17:E18"/>
    <mergeCell ref="B9:B10"/>
    <mergeCell ref="H15:H16"/>
    <mergeCell ref="B17:B18"/>
    <mergeCell ref="C19:C20"/>
    <mergeCell ref="D13:D14"/>
    <mergeCell ref="O15:O16"/>
    <mergeCell ref="O13:O14"/>
    <mergeCell ref="F7:F8"/>
    <mergeCell ref="B19:B20"/>
    <mergeCell ref="G11:G12"/>
    <mergeCell ref="DU9:DU10"/>
    <mergeCell ref="AZ13:AZ14"/>
    <mergeCell ref="AI15:AI16"/>
    <mergeCell ref="AP9:AP10"/>
    <mergeCell ref="T7:T8"/>
    <mergeCell ref="O17:O18"/>
    <mergeCell ref="AE17:AE18"/>
    <mergeCell ref="BR19:BR20"/>
    <mergeCell ref="O9:O10"/>
    <mergeCell ref="DI15:DI16"/>
    <mergeCell ref="AL11:AL12"/>
    <mergeCell ref="BZ17:BZ18"/>
    <mergeCell ref="AR19:AR20"/>
    <mergeCell ref="CN17:CN18"/>
    <mergeCell ref="AJ19:AJ20"/>
    <mergeCell ref="CF17:CF18"/>
    <mergeCell ref="AN19:AN20"/>
    <mergeCell ref="BS15:BS16"/>
    <mergeCell ref="CD17:CD18"/>
    <mergeCell ref="CC17:CC18"/>
    <mergeCell ref="BV17:BV18"/>
    <mergeCell ref="BY17:BY18"/>
    <mergeCell ref="BU17:BU18"/>
    <mergeCell ref="DN15:DN16"/>
    <mergeCell ref="W5:W6"/>
    <mergeCell ref="DZ9:DZ10"/>
    <mergeCell ref="BL9:BL10"/>
    <mergeCell ref="AP7:AP8"/>
    <mergeCell ref="BJ15:BJ16"/>
    <mergeCell ref="BK15:BK16"/>
    <mergeCell ref="AJ7:AJ8"/>
    <mergeCell ref="DX13:DX14"/>
    <mergeCell ref="DR11:DR12"/>
    <mergeCell ref="DQ11:DQ12"/>
    <mergeCell ref="DO11:DO12"/>
    <mergeCell ref="DU13:DU14"/>
    <mergeCell ref="AH7:AH8"/>
    <mergeCell ref="X9:X10"/>
    <mergeCell ref="AR7:AR8"/>
    <mergeCell ref="CL15:CL16"/>
    <mergeCell ref="DM11:DM12"/>
    <mergeCell ref="DL15:DL16"/>
    <mergeCell ref="AX9:AX10"/>
    <mergeCell ref="AT15:AT16"/>
    <mergeCell ref="BM15:BM16"/>
    <mergeCell ref="BN15:BN16"/>
    <mergeCell ref="BD15:BD16"/>
    <mergeCell ref="DN11:DN12"/>
    <mergeCell ref="DM7:DM8"/>
    <mergeCell ref="DQ13:DQ14"/>
    <mergeCell ref="BT9:BT10"/>
    <mergeCell ref="CQ7:CQ8"/>
    <mergeCell ref="CU13:CU14"/>
    <mergeCell ref="DE13:DE14"/>
    <mergeCell ref="BY7:BY8"/>
    <mergeCell ref="DJ13:DJ14"/>
    <mergeCell ref="DF9:DF10"/>
    <mergeCell ref="CW7:CW8"/>
    <mergeCell ref="DI13:DI14"/>
    <mergeCell ref="DL13:DL14"/>
    <mergeCell ref="CA7:CA8"/>
    <mergeCell ref="DH13:DH14"/>
    <mergeCell ref="DB7:DB8"/>
    <mergeCell ref="CN9:CN10"/>
    <mergeCell ref="DN9:DN10"/>
    <mergeCell ref="DE7:DE8"/>
    <mergeCell ref="DF7:DF8"/>
    <mergeCell ref="CK9:CK10"/>
    <mergeCell ref="CS7:CS8"/>
    <mergeCell ref="CP7:CP8"/>
    <mergeCell ref="DA7:DA8"/>
    <mergeCell ref="CR7:CR8"/>
    <mergeCell ref="CI7:CI8"/>
    <mergeCell ref="BO7:BO8"/>
    <mergeCell ref="BO15:BO16"/>
    <mergeCell ref="CL7:CL8"/>
    <mergeCell ref="BV7:BV8"/>
    <mergeCell ref="BZ7:BZ8"/>
    <mergeCell ref="CE7:CE8"/>
    <mergeCell ref="CD7:CD8"/>
    <mergeCell ref="CG7:CG8"/>
    <mergeCell ref="BV15:BV16"/>
    <mergeCell ref="CK13:CK14"/>
    <mergeCell ref="BY9:BY10"/>
    <mergeCell ref="BM19:BM20"/>
    <mergeCell ref="BW19:BW20"/>
    <mergeCell ref="CL19:CL20"/>
    <mergeCell ref="DK19:DK20"/>
    <mergeCell ref="DD9:DD10"/>
    <mergeCell ref="CT19:CT20"/>
    <mergeCell ref="CP9:CP10"/>
    <mergeCell ref="CX19:CX20"/>
    <mergeCell ref="CU9:CU10"/>
    <mergeCell ref="CT9:CT10"/>
    <mergeCell ref="CX9:CX10"/>
    <mergeCell ref="CI11:CI12"/>
    <mergeCell ref="CC15:CC16"/>
    <mergeCell ref="BR15:BR16"/>
    <mergeCell ref="DB11:DB12"/>
    <mergeCell ref="CU11:CU12"/>
    <mergeCell ref="CV9:CV10"/>
    <mergeCell ref="CS15:CS16"/>
    <mergeCell ref="CX15:CX16"/>
    <mergeCell ref="CW15:CW16"/>
    <mergeCell ref="DG19:DG20"/>
    <mergeCell ref="BU19:BU20"/>
    <mergeCell ref="BS17:BS18"/>
    <mergeCell ref="BE19:BE20"/>
    <mergeCell ref="BW9:BW10"/>
    <mergeCell ref="DB13:DB14"/>
    <mergeCell ref="X15:X16"/>
    <mergeCell ref="BN9:BN10"/>
    <mergeCell ref="H11:H12"/>
    <mergeCell ref="BT11:BT12"/>
    <mergeCell ref="AX17:AX18"/>
    <mergeCell ref="BM9:BM10"/>
    <mergeCell ref="BV11:BV12"/>
    <mergeCell ref="CI19:CI20"/>
    <mergeCell ref="CE11:CE12"/>
    <mergeCell ref="BN19:BN20"/>
    <mergeCell ref="BH9:BH10"/>
    <mergeCell ref="AW15:AW16"/>
    <mergeCell ref="CH19:CH20"/>
    <mergeCell ref="CZ9:CZ10"/>
    <mergeCell ref="CQ19:CQ20"/>
    <mergeCell ref="CN19:CN20"/>
    <mergeCell ref="CK19:CK20"/>
    <mergeCell ref="CW19:CW20"/>
    <mergeCell ref="CE19:CE20"/>
    <mergeCell ref="CF19:CF20"/>
    <mergeCell ref="BF19:BF20"/>
    <mergeCell ref="EB9:EB10"/>
    <mergeCell ref="CB9:CB10"/>
    <mergeCell ref="DF11:DF12"/>
    <mergeCell ref="CD19:CD20"/>
    <mergeCell ref="BG19:BG20"/>
    <mergeCell ref="CB19:CB20"/>
    <mergeCell ref="BH19:BH20"/>
    <mergeCell ref="CM19:CM20"/>
    <mergeCell ref="BY19:BY20"/>
    <mergeCell ref="DQ19:DQ20"/>
    <mergeCell ref="BI19:BI20"/>
    <mergeCell ref="BQ11:BQ12"/>
    <mergeCell ref="CP19:CP20"/>
    <mergeCell ref="DA9:DA10"/>
    <mergeCell ref="CL11:CL12"/>
    <mergeCell ref="BS19:BS20"/>
    <mergeCell ref="CJ19:CJ20"/>
    <mergeCell ref="CY9:CY10"/>
    <mergeCell ref="BG11:BG12"/>
    <mergeCell ref="CA19:CA20"/>
    <mergeCell ref="DF13:DF14"/>
    <mergeCell ref="DG11:DG12"/>
    <mergeCell ref="CC19:CC20"/>
    <mergeCell ref="BZ19:BZ20"/>
    <mergeCell ref="CA11:CA12"/>
    <mergeCell ref="DU7:DU8"/>
    <mergeCell ref="DV9:DV10"/>
    <mergeCell ref="CE9:CE10"/>
    <mergeCell ref="BH11:BH12"/>
    <mergeCell ref="BI11:BI12"/>
    <mergeCell ref="BN11:BN12"/>
    <mergeCell ref="BM11:BM12"/>
    <mergeCell ref="BD11:BD12"/>
    <mergeCell ref="BM7:BM8"/>
    <mergeCell ref="CF7:CF8"/>
    <mergeCell ref="CJ9:CJ10"/>
    <mergeCell ref="DV7:DV8"/>
    <mergeCell ref="DK7:DK8"/>
    <mergeCell ref="DR7:DR8"/>
    <mergeCell ref="DQ7:DQ8"/>
    <mergeCell ref="DK11:DK12"/>
    <mergeCell ref="BD9:BD10"/>
    <mergeCell ref="CU7:CU8"/>
    <mergeCell ref="BU7:BU8"/>
    <mergeCell ref="DS7:DS8"/>
    <mergeCell ref="CK7:CK8"/>
    <mergeCell ref="BT7:BT8"/>
    <mergeCell ref="BP7:BP8"/>
    <mergeCell ref="DT7:DT8"/>
    <mergeCell ref="CO9:CO10"/>
    <mergeCell ref="DH7:DH8"/>
    <mergeCell ref="CT7:CT8"/>
    <mergeCell ref="CO7:CO8"/>
    <mergeCell ref="CX7:CX8"/>
    <mergeCell ref="DS19:DS20"/>
    <mergeCell ref="BC11:BC12"/>
    <mergeCell ref="CC11:CC12"/>
    <mergeCell ref="BI9:BI10"/>
    <mergeCell ref="CH11:CH12"/>
    <mergeCell ref="BH15:BH16"/>
    <mergeCell ref="BC15:BC16"/>
    <mergeCell ref="DC11:DC12"/>
    <mergeCell ref="BZ11:BZ12"/>
    <mergeCell ref="DB9:DB10"/>
    <mergeCell ref="CZ11:CZ12"/>
    <mergeCell ref="CR9:CR10"/>
    <mergeCell ref="DO7:DO8"/>
    <mergeCell ref="DN7:DN8"/>
    <mergeCell ref="DP7:DP8"/>
    <mergeCell ref="BW15:BW16"/>
    <mergeCell ref="DG9:DG10"/>
    <mergeCell ref="DD11:DD12"/>
    <mergeCell ref="B11:B12"/>
    <mergeCell ref="CZ15:CZ16"/>
    <mergeCell ref="CT15:CT16"/>
    <mergeCell ref="CH15:CH16"/>
    <mergeCell ref="AF11:AF12"/>
    <mergeCell ref="DC9:DC10"/>
    <mergeCell ref="CW9:CW10"/>
    <mergeCell ref="DJ15:DJ16"/>
    <mergeCell ref="E11:E12"/>
    <mergeCell ref="B13:B14"/>
    <mergeCell ref="AE9:AE10"/>
    <mergeCell ref="CB11:CB12"/>
    <mergeCell ref="AY13:AY14"/>
    <mergeCell ref="T11:T12"/>
    <mergeCell ref="DE11:DE12"/>
    <mergeCell ref="CV11:CV12"/>
    <mergeCell ref="CW11:CW12"/>
    <mergeCell ref="H13:H14"/>
    <mergeCell ref="BJ9:BJ10"/>
    <mergeCell ref="CR11:CR12"/>
    <mergeCell ref="BU15:BU16"/>
    <mergeCell ref="BL15:BL16"/>
    <mergeCell ref="BQ15:BQ16"/>
    <mergeCell ref="BT15:BT16"/>
    <mergeCell ref="C7:C8"/>
    <mergeCell ref="G13:G14"/>
    <mergeCell ref="DJ7:DJ8"/>
    <mergeCell ref="DJ9:DJ10"/>
    <mergeCell ref="U11:U12"/>
    <mergeCell ref="E19:E20"/>
    <mergeCell ref="C17:C18"/>
    <mergeCell ref="BC17:BC18"/>
    <mergeCell ref="BC19:BC20"/>
    <mergeCell ref="BD17:BD18"/>
    <mergeCell ref="BG17:BG18"/>
    <mergeCell ref="CE17:CE18"/>
    <mergeCell ref="BH17:BH18"/>
    <mergeCell ref="CO19:CO20"/>
    <mergeCell ref="CH7:CH8"/>
    <mergeCell ref="F19:F20"/>
    <mergeCell ref="T19:T20"/>
    <mergeCell ref="AS15:AS16"/>
    <mergeCell ref="BP15:BP16"/>
    <mergeCell ref="AY15:AY16"/>
    <mergeCell ref="BS9:BS10"/>
    <mergeCell ref="CQ11:CQ12"/>
    <mergeCell ref="BJ11:BJ12"/>
    <mergeCell ref="CP11:CP12"/>
    <mergeCell ref="Y3:Y4"/>
    <mergeCell ref="W9:W10"/>
    <mergeCell ref="AM17:AM18"/>
    <mergeCell ref="AO13:AO14"/>
    <mergeCell ref="O5:S5"/>
    <mergeCell ref="BK17:BK18"/>
    <mergeCell ref="AM13:AM14"/>
    <mergeCell ref="BI17:BI18"/>
    <mergeCell ref="AN17:AN18"/>
    <mergeCell ref="AR13:AR14"/>
    <mergeCell ref="AM15:AM16"/>
    <mergeCell ref="AI13:AI14"/>
    <mergeCell ref="BJ17:BJ18"/>
    <mergeCell ref="AV11:AV12"/>
    <mergeCell ref="AJ11:AJ12"/>
    <mergeCell ref="BE11:BE12"/>
    <mergeCell ref="BC13:BC14"/>
    <mergeCell ref="BD13:BD14"/>
    <mergeCell ref="BC9:BC10"/>
    <mergeCell ref="AX15:AX16"/>
    <mergeCell ref="AD5:AE5"/>
    <mergeCell ref="AT9:AT10"/>
    <mergeCell ref="AU7:AU8"/>
    <mergeCell ref="T5:V5"/>
    <mergeCell ref="E4:H4"/>
    <mergeCell ref="E13:E14"/>
    <mergeCell ref="W11:W12"/>
    <mergeCell ref="AG11:AG12"/>
    <mergeCell ref="N7:N8"/>
    <mergeCell ref="C15:C16"/>
    <mergeCell ref="B15:B16"/>
    <mergeCell ref="AK7:AK8"/>
    <mergeCell ref="BF17:BF18"/>
    <mergeCell ref="AQ13:AQ14"/>
    <mergeCell ref="B4:D4"/>
    <mergeCell ref="AJ15:AJ16"/>
    <mergeCell ref="AL17:AL18"/>
    <mergeCell ref="AQ11:AQ12"/>
    <mergeCell ref="AL9:AL10"/>
    <mergeCell ref="AQ9:AQ10"/>
    <mergeCell ref="AL15:AL16"/>
    <mergeCell ref="AJ9:AJ10"/>
    <mergeCell ref="Y5:Y6"/>
    <mergeCell ref="W3:X4"/>
    <mergeCell ref="N9:N10"/>
    <mergeCell ref="AP15:AP16"/>
    <mergeCell ref="AV13:AV14"/>
    <mergeCell ref="N11:N12"/>
    <mergeCell ref="D17:D18"/>
    <mergeCell ref="R13:R14"/>
    <mergeCell ref="AW19:AW20"/>
    <mergeCell ref="G17:G18"/>
    <mergeCell ref="AK17:AK18"/>
    <mergeCell ref="F17:F18"/>
    <mergeCell ref="AE13:AE14"/>
    <mergeCell ref="O7:O8"/>
    <mergeCell ref="C13:C14"/>
    <mergeCell ref="I11:I12"/>
    <mergeCell ref="O11:O12"/>
    <mergeCell ref="AD9:AD10"/>
    <mergeCell ref="AJ13:AJ14"/>
    <mergeCell ref="N13:N14"/>
    <mergeCell ref="N15:N16"/>
    <mergeCell ref="N17:N18"/>
    <mergeCell ref="N19:N20"/>
    <mergeCell ref="AR9:AR10"/>
    <mergeCell ref="AO15:AO16"/>
    <mergeCell ref="AQ17:AQ18"/>
    <mergeCell ref="AM11:AM12"/>
    <mergeCell ref="AN13:AN14"/>
    <mergeCell ref="AK9:AK10"/>
    <mergeCell ref="Y15:Y16"/>
    <mergeCell ref="AH17:AH18"/>
    <mergeCell ref="Y11:Y12"/>
    <mergeCell ref="DA19:DA20"/>
    <mergeCell ref="I19:I20"/>
    <mergeCell ref="DN17:DN18"/>
    <mergeCell ref="EC7:EC8"/>
    <mergeCell ref="ED19:ED20"/>
    <mergeCell ref="ED7:ED8"/>
    <mergeCell ref="DZ13:DZ14"/>
    <mergeCell ref="DY9:DY10"/>
    <mergeCell ref="EA13:EA14"/>
    <mergeCell ref="DZ7:DZ8"/>
    <mergeCell ref="EB7:EB8"/>
    <mergeCell ref="BO13:BO14"/>
    <mergeCell ref="CB17:CB18"/>
    <mergeCell ref="CF13:CF14"/>
    <mergeCell ref="CI17:CI18"/>
    <mergeCell ref="DK13:DK14"/>
    <mergeCell ref="CH13:CH14"/>
    <mergeCell ref="CJ17:CJ18"/>
    <mergeCell ref="BU13:BU14"/>
    <mergeCell ref="CA13:CA14"/>
    <mergeCell ref="BW13:BW14"/>
    <mergeCell ref="BW17:BW18"/>
    <mergeCell ref="CV19:CV20"/>
    <mergeCell ref="DT17:DT18"/>
    <mergeCell ref="CG11:CG12"/>
    <mergeCell ref="BQ17:BQ18"/>
    <mergeCell ref="BD19:BD20"/>
    <mergeCell ref="EA7:EA8"/>
    <mergeCell ref="AI17:AI18"/>
    <mergeCell ref="AP11:AP12"/>
    <mergeCell ref="AR17:AR18"/>
    <mergeCell ref="CZ13:CZ14"/>
    <mergeCell ref="CP15:CP16"/>
    <mergeCell ref="AM19:AM20"/>
    <mergeCell ref="BV13:BV14"/>
    <mergeCell ref="CP17:CP18"/>
    <mergeCell ref="BT13:BT14"/>
    <mergeCell ref="CL17:CL18"/>
    <mergeCell ref="DD15:DD16"/>
    <mergeCell ref="CP13:CP14"/>
    <mergeCell ref="DG17:DG18"/>
    <mergeCell ref="CO13:CO14"/>
    <mergeCell ref="CR17:CR18"/>
    <mergeCell ref="CQ17:CQ18"/>
    <mergeCell ref="CD13:CD14"/>
    <mergeCell ref="CG17:CG18"/>
    <mergeCell ref="BJ13:BJ14"/>
    <mergeCell ref="BI13:BI14"/>
    <mergeCell ref="BH13:BH14"/>
    <mergeCell ref="DK17:DK18"/>
    <mergeCell ref="BV9:BV10"/>
    <mergeCell ref="BR11:BR12"/>
    <mergeCell ref="BS11:BS12"/>
    <mergeCell ref="CV7:CV8"/>
    <mergeCell ref="BO9:BO10"/>
    <mergeCell ref="DC15:DC16"/>
    <mergeCell ref="CS13:CS14"/>
    <mergeCell ref="DF17:DF18"/>
    <mergeCell ref="CG13:CG14"/>
    <mergeCell ref="CC13:CC14"/>
    <mergeCell ref="CB13:CB14"/>
    <mergeCell ref="BX13:BX14"/>
    <mergeCell ref="CX17:CX18"/>
    <mergeCell ref="BP13:BP14"/>
    <mergeCell ref="CO11:CO12"/>
    <mergeCell ref="CN11:CN12"/>
    <mergeCell ref="DH11:DH12"/>
    <mergeCell ref="DI11:DI12"/>
    <mergeCell ref="DC13:DC14"/>
    <mergeCell ref="DG13:DG14"/>
    <mergeCell ref="DB15:DB16"/>
    <mergeCell ref="CT17:CT18"/>
    <mergeCell ref="DI17:DI18"/>
    <mergeCell ref="CK17:CK18"/>
    <mergeCell ref="DM15:DM16"/>
    <mergeCell ref="DR13:DR14"/>
    <mergeCell ref="BQ13:BQ14"/>
    <mergeCell ref="CV17:CV18"/>
    <mergeCell ref="BM17:BM18"/>
    <mergeCell ref="CJ7:CJ8"/>
    <mergeCell ref="DR17:DR18"/>
    <mergeCell ref="DG15:DG16"/>
    <mergeCell ref="BX11:BX12"/>
    <mergeCell ref="BL17:BL18"/>
    <mergeCell ref="DM13:DM14"/>
    <mergeCell ref="CM17:CM18"/>
    <mergeCell ref="CJ13:CJ14"/>
    <mergeCell ref="CI13:CI14"/>
    <mergeCell ref="CE13:CE14"/>
    <mergeCell ref="BZ13:BZ14"/>
    <mergeCell ref="BM13:BM14"/>
    <mergeCell ref="BN13:BN14"/>
    <mergeCell ref="BS13:BS14"/>
    <mergeCell ref="BR13:BR14"/>
    <mergeCell ref="CU17:CU18"/>
    <mergeCell ref="BL13:BL14"/>
    <mergeCell ref="BY13:BY14"/>
    <mergeCell ref="DD17:DD18"/>
    <mergeCell ref="BU9:BU10"/>
    <mergeCell ref="DE15:DE16"/>
    <mergeCell ref="CW17:CW18"/>
    <mergeCell ref="BW11:BW12"/>
    <mergeCell ref="DL17:DL18"/>
    <mergeCell ref="EC9:EC10"/>
    <mergeCell ref="DB19:DB20"/>
    <mergeCell ref="ED9:ED10"/>
    <mergeCell ref="BY15:BY16"/>
    <mergeCell ref="V19:V20"/>
    <mergeCell ref="T17:T18"/>
    <mergeCell ref="U17:U18"/>
    <mergeCell ref="H17:H18"/>
    <mergeCell ref="BE9:BE10"/>
    <mergeCell ref="CN13:CN14"/>
    <mergeCell ref="CY11:CY12"/>
    <mergeCell ref="DD13:DD14"/>
    <mergeCell ref="BK11:BK12"/>
    <mergeCell ref="CR13:CR14"/>
    <mergeCell ref="CV13:CV14"/>
    <mergeCell ref="CJ11:CJ12"/>
    <mergeCell ref="BU11:BU12"/>
    <mergeCell ref="DA11:DA12"/>
    <mergeCell ref="CM13:CM14"/>
    <mergeCell ref="CH17:CH18"/>
    <mergeCell ref="DC17:DC18"/>
    <mergeCell ref="CS17:CS18"/>
    <mergeCell ref="DA17:DA18"/>
    <mergeCell ref="CZ17:CZ18"/>
    <mergeCell ref="A1:A21"/>
    <mergeCell ref="AV17:AV18"/>
    <mergeCell ref="AZ17:AZ18"/>
    <mergeCell ref="EA19:EA20"/>
    <mergeCell ref="AI19:AI20"/>
    <mergeCell ref="CZ19:CZ20"/>
    <mergeCell ref="ED11:ED12"/>
    <mergeCell ref="EB13:EB14"/>
    <mergeCell ref="DF15:DF16"/>
    <mergeCell ref="DD19:DD20"/>
    <mergeCell ref="DC19:DC20"/>
    <mergeCell ref="EC13:EC14"/>
    <mergeCell ref="AK15:AK16"/>
    <mergeCell ref="DH19:DH20"/>
    <mergeCell ref="Y19:Y20"/>
    <mergeCell ref="AV15:AV16"/>
    <mergeCell ref="CG19:CG20"/>
    <mergeCell ref="DA15:DA16"/>
    <mergeCell ref="CM15:CM16"/>
    <mergeCell ref="CQ15:CQ16"/>
    <mergeCell ref="CV15:CV16"/>
    <mergeCell ref="CY15:CY16"/>
    <mergeCell ref="CB15:CB16"/>
    <mergeCell ref="AG17:AG18"/>
    <mergeCell ref="EC11:EC12"/>
    <mergeCell ref="DO19:DO20"/>
    <mergeCell ref="DK15:DK16"/>
    <mergeCell ref="DE19:DE20"/>
    <mergeCell ref="DU15:DU16"/>
    <mergeCell ref="DQ15:DQ16"/>
    <mergeCell ref="DR15:DR16"/>
    <mergeCell ref="DS15:DS16"/>
    <mergeCell ref="DJ17:DJ18"/>
    <mergeCell ref="DV15:DV16"/>
    <mergeCell ref="DL19:DL20"/>
    <mergeCell ref="DX15:DX16"/>
    <mergeCell ref="DF19:DF20"/>
    <mergeCell ref="DE17:DE18"/>
    <mergeCell ref="EC15:EC16"/>
    <mergeCell ref="DO17:DO18"/>
    <mergeCell ref="DV17:DV18"/>
    <mergeCell ref="DO15:DO16"/>
    <mergeCell ref="DH17:DH18"/>
    <mergeCell ref="EA11:EA12"/>
    <mergeCell ref="EB11:EB12"/>
    <mergeCell ref="DZ11:DZ12"/>
    <mergeCell ref="DZ15:DZ16"/>
    <mergeCell ref="DY13:DY14"/>
    <mergeCell ref="DJ11:DJ12"/>
    <mergeCell ref="BY11:BY12"/>
    <mergeCell ref="BQ9:BQ10"/>
    <mergeCell ref="CF11:CF12"/>
    <mergeCell ref="EB19:EB20"/>
    <mergeCell ref="DT15:DT16"/>
    <mergeCell ref="DP19:DP20"/>
    <mergeCell ref="AR11:AR12"/>
    <mergeCell ref="AH15:AH16"/>
    <mergeCell ref="AO19:AO20"/>
    <mergeCell ref="CO17:CO18"/>
    <mergeCell ref="AQ19:AQ20"/>
    <mergeCell ref="AH13:AH14"/>
    <mergeCell ref="AP19:AP20"/>
    <mergeCell ref="AH9:AH10"/>
    <mergeCell ref="CG15:CG16"/>
    <mergeCell ref="CY17:CY18"/>
    <mergeCell ref="BK13:BK14"/>
    <mergeCell ref="BE17:BE18"/>
    <mergeCell ref="BF13:BF14"/>
    <mergeCell ref="BE13:BE14"/>
    <mergeCell ref="BG13:BG14"/>
    <mergeCell ref="AK13:AK14"/>
    <mergeCell ref="BP17:BP18"/>
    <mergeCell ref="B3:C3"/>
    <mergeCell ref="T13:T14"/>
    <mergeCell ref="BD7:BD8"/>
    <mergeCell ref="CD15:CD16"/>
    <mergeCell ref="H19:H20"/>
    <mergeCell ref="G15:G16"/>
    <mergeCell ref="AW17:AW18"/>
    <mergeCell ref="BP11:BP12"/>
    <mergeCell ref="AY17:AY18"/>
    <mergeCell ref="BF11:BF12"/>
    <mergeCell ref="BO11:BO12"/>
    <mergeCell ref="AY11:AY12"/>
    <mergeCell ref="V17:V18"/>
    <mergeCell ref="AG15:AG16"/>
    <mergeCell ref="AG13:AG14"/>
    <mergeCell ref="AW5:BA5"/>
    <mergeCell ref="AG9:AG10"/>
    <mergeCell ref="X5:X6"/>
    <mergeCell ref="Y7:Y8"/>
    <mergeCell ref="Z1:Z21"/>
    <mergeCell ref="Y17:Y18"/>
    <mergeCell ref="CA17:CA18"/>
    <mergeCell ref="BT17:BT18"/>
    <mergeCell ref="BR17:BR18"/>
  </mergeCells>
  <conditionalFormatting sqref="R7 P7:Q8 S7:Y8 P9:Y20 Y7:Y20">
    <cfRule type="expression" dxfId="12" priority="7">
      <formula>$P7="------"</formula>
    </cfRule>
  </conditionalFormatting>
  <conditionalFormatting sqref="U7:Y20">
    <cfRule type="expression" dxfId="11" priority="3">
      <formula>$U7=""</formula>
    </cfRule>
  </conditionalFormatting>
  <conditionalFormatting sqref="O7:O20">
    <cfRule type="cellIs" dxfId="10" priority="2" operator="equal">
      <formula>"MACP not being defined"</formula>
    </cfRule>
  </conditionalFormatting>
  <dataValidations count="1">
    <dataValidation type="list" allowBlank="1" showInputMessage="1" showErrorMessage="1" sqref="Y7:Y20">
      <formula1>$Y$22:$Y$30</formula1>
    </dataValidation>
  </dataValidations>
  <hyperlinks>
    <hyperlink ref="E4:H4" r:id="rId1" display="Click Here"/>
  </hyperlinks>
  <pageMargins left="0.3" right="0.2" top="0.33" bottom="0.34" header="0.31496062992125984" footer="0.31496062992125984"/>
  <pageSetup paperSize="9" scale="57" orientation="landscape"/>
  <drawing r:id="rId2"/>
</worksheet>
</file>

<file path=xl/worksheets/sheet2.xml><?xml version="1.0" encoding="utf-8"?>
<worksheet xmlns="http://schemas.openxmlformats.org/spreadsheetml/2006/main" xmlns:r="http://schemas.openxmlformats.org/officeDocument/2006/relationships">
  <sheetPr>
    <tabColor rgb="FFFF0000"/>
  </sheetPr>
  <dimension ref="A1:X48"/>
  <sheetViews>
    <sheetView topLeftCell="A7" zoomScale="85" zoomScaleNormal="85" workbookViewId="0">
      <selection activeCell="O22" sqref="O22"/>
    </sheetView>
  </sheetViews>
  <sheetFormatPr defaultColWidth="0" defaultRowHeight="15" zeroHeight="1"/>
  <cols>
    <col min="1" max="1" width="2.5703125" style="1" customWidth="1"/>
    <col min="2" max="2" width="5.7109375" style="1" customWidth="1"/>
    <col min="3" max="3" width="20.5703125" style="1" customWidth="1"/>
    <col min="4" max="4" width="21.5703125" style="1" customWidth="1"/>
    <col min="5" max="5" width="14.85546875" style="1" customWidth="1"/>
    <col min="6" max="6" width="14.42578125" style="1" customWidth="1"/>
    <col min="7" max="16" width="13.7109375" style="1" customWidth="1"/>
    <col min="17" max="17" width="2.140625" style="1" customWidth="1"/>
    <col min="18" max="24" width="0" style="1" hidden="1" customWidth="1"/>
    <col min="25" max="16384" width="9.140625" style="1" hidden="1"/>
  </cols>
  <sheetData>
    <row r="1" spans="1:17" ht="11.25" customHeight="1">
      <c r="A1" s="392"/>
      <c r="B1" s="392"/>
      <c r="C1" s="392"/>
      <c r="D1" s="392"/>
      <c r="E1" s="392"/>
      <c r="F1" s="392"/>
      <c r="G1" s="392"/>
      <c r="H1" s="392"/>
      <c r="I1" s="392"/>
      <c r="J1" s="392"/>
      <c r="K1" s="392"/>
      <c r="L1" s="392"/>
      <c r="M1" s="392"/>
      <c r="N1" s="392"/>
      <c r="O1" s="392"/>
      <c r="P1" s="392"/>
      <c r="Q1" s="392"/>
    </row>
    <row r="2" spans="1:17" ht="53.25" customHeight="1">
      <c r="A2" s="392"/>
      <c r="B2" s="377" t="str">
        <f>CONCATENATE("dk;kZy;","%"," ","ç/kkukpk;Z] jkmekfo jk;eyok³k] ckfi.kh ¼tks/kiqj½")</f>
        <v>dk;kZy;% ç/kkukpk;Z] jkmekfo jk;eyok³k] ckfi.kh ¼tks/kiqj½</v>
      </c>
      <c r="C2" s="378"/>
      <c r="D2" s="378"/>
      <c r="E2" s="378"/>
      <c r="F2" s="378"/>
      <c r="G2" s="378"/>
      <c r="H2" s="378"/>
      <c r="I2" s="378"/>
      <c r="J2" s="378"/>
      <c r="K2" s="378"/>
      <c r="L2" s="378"/>
      <c r="M2" s="378"/>
      <c r="N2" s="378"/>
      <c r="O2" s="378"/>
      <c r="P2" s="379"/>
      <c r="Q2" s="392"/>
    </row>
    <row r="3" spans="1:17" ht="24" customHeight="1">
      <c r="A3" s="392"/>
      <c r="B3" s="388" t="s">
        <v>107</v>
      </c>
      <c r="C3" s="389"/>
      <c r="D3" s="389"/>
      <c r="E3" s="389"/>
      <c r="F3" s="389"/>
      <c r="G3" s="389"/>
      <c r="H3" s="389"/>
      <c r="I3" s="389"/>
      <c r="J3" s="389"/>
      <c r="K3" s="389"/>
      <c r="L3" s="389"/>
      <c r="M3" s="390" t="s">
        <v>108</v>
      </c>
      <c r="N3" s="390"/>
      <c r="O3" s="390"/>
      <c r="P3" s="391"/>
      <c r="Q3" s="392"/>
    </row>
    <row r="4" spans="1:17" ht="26.25" customHeight="1">
      <c r="A4" s="392"/>
      <c r="B4" s="458" t="s">
        <v>109</v>
      </c>
      <c r="C4" s="459"/>
      <c r="D4" s="459"/>
      <c r="E4" s="459"/>
      <c r="F4" s="459"/>
      <c r="G4" s="459"/>
      <c r="H4" s="459"/>
      <c r="I4" s="459"/>
      <c r="J4" s="459"/>
      <c r="K4" s="459"/>
      <c r="L4" s="459"/>
      <c r="M4" s="459"/>
      <c r="N4" s="459"/>
      <c r="O4" s="459"/>
      <c r="P4" s="460"/>
      <c r="Q4" s="392"/>
    </row>
    <row r="5" spans="1:17" ht="140.25" customHeight="1">
      <c r="A5" s="392"/>
      <c r="B5" s="419" t="s">
        <v>143</v>
      </c>
      <c r="C5" s="420"/>
      <c r="D5" s="420"/>
      <c r="E5" s="420"/>
      <c r="F5" s="420"/>
      <c r="G5" s="420"/>
      <c r="H5" s="420"/>
      <c r="I5" s="420"/>
      <c r="J5" s="420"/>
      <c r="K5" s="420"/>
      <c r="L5" s="420"/>
      <c r="M5" s="420"/>
      <c r="N5" s="420"/>
      <c r="O5" s="420"/>
      <c r="P5" s="421"/>
      <c r="Q5" s="392"/>
    </row>
    <row r="6" spans="1:17" ht="47.25" customHeight="1">
      <c r="A6" s="392"/>
      <c r="B6" s="422" t="s">
        <v>91</v>
      </c>
      <c r="C6" s="427" t="s">
        <v>30</v>
      </c>
      <c r="D6" s="427" t="s">
        <v>38</v>
      </c>
      <c r="E6" s="425" t="s">
        <v>116</v>
      </c>
      <c r="F6" s="429" t="s">
        <v>115</v>
      </c>
      <c r="G6" s="408" t="s">
        <v>114</v>
      </c>
      <c r="H6" s="408"/>
      <c r="I6" s="455" t="s">
        <v>117</v>
      </c>
      <c r="J6" s="455"/>
      <c r="K6" s="455"/>
      <c r="L6" s="408" t="s">
        <v>96</v>
      </c>
      <c r="M6" s="408"/>
      <c r="N6" s="408"/>
      <c r="O6" s="408"/>
      <c r="P6" s="464" t="s">
        <v>106</v>
      </c>
      <c r="Q6" s="392"/>
    </row>
    <row r="7" spans="1:17" ht="34.5" customHeight="1">
      <c r="A7" s="392"/>
      <c r="B7" s="423"/>
      <c r="C7" s="428"/>
      <c r="D7" s="428"/>
      <c r="E7" s="426"/>
      <c r="F7" s="430"/>
      <c r="G7" s="62" t="s">
        <v>20</v>
      </c>
      <c r="H7" s="63" t="s">
        <v>85</v>
      </c>
      <c r="I7" s="62" t="s">
        <v>90</v>
      </c>
      <c r="J7" s="62" t="s">
        <v>20</v>
      </c>
      <c r="K7" s="63" t="s">
        <v>85</v>
      </c>
      <c r="L7" s="64" t="s">
        <v>88</v>
      </c>
      <c r="M7" s="65" t="s">
        <v>97</v>
      </c>
      <c r="N7" s="62" t="s">
        <v>20</v>
      </c>
      <c r="O7" s="63" t="s">
        <v>85</v>
      </c>
      <c r="P7" s="465"/>
      <c r="Q7" s="392"/>
    </row>
    <row r="8" spans="1:17" ht="15.75">
      <c r="A8" s="392"/>
      <c r="B8" s="66">
        <v>1</v>
      </c>
      <c r="C8" s="67">
        <v>2</v>
      </c>
      <c r="D8" s="68">
        <v>3</v>
      </c>
      <c r="E8" s="67">
        <v>4</v>
      </c>
      <c r="F8" s="68">
        <v>5</v>
      </c>
      <c r="G8" s="68">
        <v>7</v>
      </c>
      <c r="H8" s="67">
        <v>8</v>
      </c>
      <c r="I8" s="68">
        <v>9</v>
      </c>
      <c r="J8" s="67">
        <v>10</v>
      </c>
      <c r="K8" s="68">
        <v>11</v>
      </c>
      <c r="L8" s="67">
        <v>12</v>
      </c>
      <c r="M8" s="68">
        <v>13</v>
      </c>
      <c r="N8" s="67">
        <v>14</v>
      </c>
      <c r="O8" s="67">
        <v>16</v>
      </c>
      <c r="P8" s="69">
        <v>17</v>
      </c>
      <c r="Q8" s="392"/>
    </row>
    <row r="9" spans="1:17" ht="27.75" customHeight="1">
      <c r="A9" s="392"/>
      <c r="B9" s="436">
        <f>IF('Basic Data Entry'!$B7="","",'Basic Data Entry'!B7)</f>
        <v>1</v>
      </c>
      <c r="C9" s="437" t="str">
        <f>IF('Basic Data Entry'!$B7="","",'Basic Data Entry'!C7)</f>
        <v>A</v>
      </c>
      <c r="D9" s="442" t="str">
        <f>IF('Basic Data Entry'!$B7="","",'Basic Data Entry'!D7)</f>
        <v>Teacher 
(GSS Raimalwada)</v>
      </c>
      <c r="E9" s="403">
        <f>IF('Basic Data Entry'!$B7="","",'Basic Data Entry'!E7)</f>
        <v>27</v>
      </c>
      <c r="F9" s="404">
        <f>IF('Basic Data Entry'!$B7="","",'Basic Data Entry'!F7)</f>
        <v>44743</v>
      </c>
      <c r="G9" s="399">
        <f>IF('Basic Data Entry'!$B7="","",'Basic Data Entry'!G7)</f>
        <v>65000</v>
      </c>
      <c r="H9" s="386">
        <f>IF('Basic Data Entry'!$B7="","",'Basic Data Entry'!H7)</f>
        <v>12</v>
      </c>
      <c r="I9" s="70">
        <f>IF('Basic Data Entry'!$B7="","",'Basic Data Entry'!J7)</f>
        <v>45017</v>
      </c>
      <c r="J9" s="71">
        <f>IF('Basic Data Entry'!$B7="","",IF('Basic Data Entry'!K7="","-----",'Basic Data Entry'!K7))</f>
        <v>69200</v>
      </c>
      <c r="K9" s="72">
        <f>IF('Basic Data Entry'!$B7="","",IF('Basic Data Entry'!L7="","-----",'Basic Data Entry'!L7))</f>
        <v>13</v>
      </c>
      <c r="L9" s="393">
        <f>IF('Basic Data Entry'!$B7="","",'Basic Data Entry'!O7)</f>
        <v>45017</v>
      </c>
      <c r="M9" s="70">
        <f>IF('Basic Data Entry'!$B7="","",'Basic Data Entry'!P7)</f>
        <v>45017</v>
      </c>
      <c r="N9" s="71">
        <f>IF('Basic Data Entry'!$B7="","",'Basic Data Entry'!Q7)</f>
        <v>71100</v>
      </c>
      <c r="O9" s="72">
        <f>IF('Basic Data Entry'!$B7="","",'Basic Data Entry'!S7)</f>
        <v>14</v>
      </c>
      <c r="P9" s="395" t="str">
        <f>IF(B9="","","01-07-2024")</f>
        <v>01-07-2024</v>
      </c>
      <c r="Q9" s="392"/>
    </row>
    <row r="10" spans="1:17" ht="27.75" customHeight="1">
      <c r="A10" s="392"/>
      <c r="B10" s="410"/>
      <c r="C10" s="438"/>
      <c r="D10" s="416"/>
      <c r="E10" s="381"/>
      <c r="F10" s="405"/>
      <c r="G10" s="400"/>
      <c r="H10" s="435"/>
      <c r="I10" s="73">
        <f>IF('Basic Data Entry'!$B7="","",IF('Basic Data Entry'!J8="","-----",'Basic Data Entry'!J8))</f>
        <v>45108</v>
      </c>
      <c r="J10" s="74">
        <f>IF('Basic Data Entry'!$B7="","",IF('Basic Data Entry'!K8="","-----",'Basic Data Entry'!K8))</f>
        <v>71300</v>
      </c>
      <c r="K10" s="75">
        <f>IF('Basic Data Entry'!$B7="","",IF('Basic Data Entry'!L8="","-----",'Basic Data Entry'!L8))</f>
        <v>13</v>
      </c>
      <c r="L10" s="394"/>
      <c r="M10" s="73">
        <f>IF('Basic Data Entry'!$B7="","",IF('Basic Data Entry'!P8="","-----",'Basic Data Entry'!P8))</f>
        <v>45108</v>
      </c>
      <c r="N10" s="74">
        <f>IF('Basic Data Entry'!$B7="","",IF('Basic Data Entry'!Q8="","-----",'Basic Data Entry'!Q8))</f>
        <v>73200</v>
      </c>
      <c r="O10" s="75">
        <f>IF(C9="","",IF('Basic Data Entry'!S8="","-----",'Basic Data Entry'!S8))</f>
        <v>14</v>
      </c>
      <c r="P10" s="396"/>
      <c r="Q10" s="392"/>
    </row>
    <row r="11" spans="1:17" ht="27.75" customHeight="1">
      <c r="A11" s="392"/>
      <c r="B11" s="406">
        <f>IF('Basic Data Entry'!$B9="","",'Basic Data Entry'!B9)</f>
        <v>2</v>
      </c>
      <c r="C11" s="384" t="str">
        <f>IF('Basic Data Entry'!$B9="","",'Basic Data Entry'!C9)</f>
        <v>B</v>
      </c>
      <c r="D11" s="453" t="str">
        <f>IF('Basic Data Entry'!$B9="","",'Basic Data Entry'!D9)</f>
        <v>Teacher</v>
      </c>
      <c r="E11" s="445">
        <f>IF('Basic Data Entry'!$B9="","",'Basic Data Entry'!E9)</f>
        <v>27</v>
      </c>
      <c r="F11" s="413">
        <f>IF('Basic Data Entry'!$B9="","",'Basic Data Entry'!F9)</f>
        <v>44429</v>
      </c>
      <c r="G11" s="431">
        <f>IF('Basic Data Entry'!$B9="","",'Basic Data Entry'!G9)</f>
        <v>65000</v>
      </c>
      <c r="H11" s="439">
        <f>IF('Basic Data Entry'!$B9="","",'Basic Data Entry'!H9)</f>
        <v>12</v>
      </c>
      <c r="I11" s="76">
        <f>IF('Basic Data Entry'!$B9="","",'Basic Data Entry'!J9)</f>
        <v>45017</v>
      </c>
      <c r="J11" s="77">
        <f>IF('Basic Data Entry'!$B9="","",IF('Basic Data Entry'!K9="","-----",'Basic Data Entry'!K9))</f>
        <v>69200</v>
      </c>
      <c r="K11" s="78">
        <f>IF('Basic Data Entry'!$B9="","",IF('Basic Data Entry'!L9="","-----",'Basic Data Entry'!L9))</f>
        <v>13</v>
      </c>
      <c r="L11" s="417">
        <f>IF('Basic Data Entry'!$B9="","",'Basic Data Entry'!O9)</f>
        <v>45017</v>
      </c>
      <c r="M11" s="76">
        <f>IF('Basic Data Entry'!$B9="","",'Basic Data Entry'!P9)</f>
        <v>45017</v>
      </c>
      <c r="N11" s="77">
        <f>IF('Basic Data Entry'!$B9="","",'Basic Data Entry'!Q9)</f>
        <v>71100</v>
      </c>
      <c r="O11" s="78">
        <f>IF('Basic Data Entry'!$B9="","",'Basic Data Entry'!S9)</f>
        <v>14</v>
      </c>
      <c r="P11" s="382" t="str">
        <f t="shared" ref="P11" si="0">IF(B11="","","01-07-2024")</f>
        <v>01-07-2024</v>
      </c>
      <c r="Q11" s="392"/>
    </row>
    <row r="12" spans="1:17" ht="27.75" customHeight="1">
      <c r="A12" s="392"/>
      <c r="B12" s="407"/>
      <c r="C12" s="397"/>
      <c r="D12" s="454"/>
      <c r="E12" s="482"/>
      <c r="F12" s="479"/>
      <c r="G12" s="433"/>
      <c r="H12" s="441"/>
      <c r="I12" s="79">
        <f>IF('Basic Data Entry'!$B9="","",IF('Basic Data Entry'!J10="","-----",'Basic Data Entry'!J10))</f>
        <v>45108</v>
      </c>
      <c r="J12" s="80">
        <f>IF('Basic Data Entry'!$B9="","",IF('Basic Data Entry'!K10="","-----",'Basic Data Entry'!K10))</f>
        <v>71300</v>
      </c>
      <c r="K12" s="81">
        <f>IF('Basic Data Entry'!$B9="","",IF('Basic Data Entry'!L10="","-----",'Basic Data Entry'!L10))</f>
        <v>13</v>
      </c>
      <c r="L12" s="418"/>
      <c r="M12" s="79">
        <f>IF('Basic Data Entry'!$B9="","",IF('Basic Data Entry'!P10="","-----",'Basic Data Entry'!P10))</f>
        <v>45108</v>
      </c>
      <c r="N12" s="80">
        <f>IF('Basic Data Entry'!$B9="","",IF('Basic Data Entry'!Q10="","-----",'Basic Data Entry'!Q10))</f>
        <v>73200</v>
      </c>
      <c r="O12" s="81">
        <f>IF(C11="","",IF('Basic Data Entry'!S10="","-----",'Basic Data Entry'!S10))</f>
        <v>14</v>
      </c>
      <c r="P12" s="383"/>
      <c r="Q12" s="392"/>
    </row>
    <row r="13" spans="1:17" ht="27.75" customHeight="1">
      <c r="A13" s="392"/>
      <c r="B13" s="436">
        <f>IF('Basic Data Entry'!$B11="","",'Basic Data Entry'!B11)</f>
        <v>3</v>
      </c>
      <c r="C13" s="437" t="str">
        <f>IF('Basic Data Entry'!$B11="","",'Basic Data Entry'!C11)</f>
        <v>C</v>
      </c>
      <c r="D13" s="442" t="str">
        <f>IF('Basic Data Entry'!$B11="","",'Basic Data Entry'!D11)</f>
        <v>Teacher</v>
      </c>
      <c r="E13" s="403">
        <f>IF('Basic Data Entry'!$B11="","",'Basic Data Entry'!E11)</f>
        <v>27</v>
      </c>
      <c r="F13" s="404">
        <f>IF('Basic Data Entry'!$B11="","",'Basic Data Entry'!F11)</f>
        <v>45167</v>
      </c>
      <c r="G13" s="399">
        <f>IF('Basic Data Entry'!$B11="","",'Basic Data Entry'!G11)</f>
        <v>67000</v>
      </c>
      <c r="H13" s="386">
        <f>IF('Basic Data Entry'!$B11="","",'Basic Data Entry'!H11)</f>
        <v>12</v>
      </c>
      <c r="I13" s="70">
        <f>IF('Basic Data Entry'!$B11="","",'Basic Data Entry'!J11)</f>
        <v>45167</v>
      </c>
      <c r="J13" s="71">
        <f>IF('Basic Data Entry'!$B11="","",IF('Basic Data Entry'!K11="","-----",'Basic Data Entry'!K11))</f>
        <v>69200</v>
      </c>
      <c r="K13" s="72">
        <f>IF('Basic Data Entry'!$B11="","",IF('Basic Data Entry'!L11="","-----",'Basic Data Entry'!L11))</f>
        <v>13</v>
      </c>
      <c r="L13" s="393">
        <f>IF('Basic Data Entry'!$B11="","",'Basic Data Entry'!O11)</f>
        <v>45167</v>
      </c>
      <c r="M13" s="70">
        <f>IF('Basic Data Entry'!$B11="","",'Basic Data Entry'!P11)</f>
        <v>45167</v>
      </c>
      <c r="N13" s="71">
        <f>IF('Basic Data Entry'!$B11="","",'Basic Data Entry'!Q11)</f>
        <v>71100</v>
      </c>
      <c r="O13" s="72">
        <f>IF('Basic Data Entry'!$B11="","",'Basic Data Entry'!S11)</f>
        <v>14</v>
      </c>
      <c r="P13" s="395" t="str">
        <f t="shared" ref="P13" si="1">IF(B13="","","01-07-2024")</f>
        <v>01-07-2024</v>
      </c>
      <c r="Q13" s="392"/>
    </row>
    <row r="14" spans="1:17" ht="27.75" customHeight="1">
      <c r="A14" s="392"/>
      <c r="B14" s="450"/>
      <c r="C14" s="473"/>
      <c r="D14" s="472"/>
      <c r="E14" s="477"/>
      <c r="F14" s="451"/>
      <c r="G14" s="411"/>
      <c r="H14" s="387"/>
      <c r="I14" s="82" t="str">
        <f>IF('Basic Data Entry'!$B11="","",IF('Basic Data Entry'!J12="","-----",'Basic Data Entry'!J12))</f>
        <v>-----</v>
      </c>
      <c r="J14" s="83" t="str">
        <f>IF('Basic Data Entry'!$B11="","",IF('Basic Data Entry'!K12="","-----",'Basic Data Entry'!K12))</f>
        <v>-----</v>
      </c>
      <c r="K14" s="84" t="str">
        <f>IF('Basic Data Entry'!$B11="","",IF('Basic Data Entry'!L12="","-----",'Basic Data Entry'!L12))</f>
        <v>-----</v>
      </c>
      <c r="L14" s="447"/>
      <c r="M14" s="82" t="str">
        <f>IF('Basic Data Entry'!$B11="","",IF('Basic Data Entry'!P12="","-----",'Basic Data Entry'!P12))</f>
        <v>-----</v>
      </c>
      <c r="N14" s="83" t="str">
        <f>IF('Basic Data Entry'!$B11="","",IF('Basic Data Entry'!Q12="","-----",'Basic Data Entry'!Q12))</f>
        <v>-----</v>
      </c>
      <c r="O14" s="84" t="str">
        <f>IF(C13="","",IF('Basic Data Entry'!S12="","-----",'Basic Data Entry'!S12))</f>
        <v>-----</v>
      </c>
      <c r="P14" s="463"/>
      <c r="Q14" s="392"/>
    </row>
    <row r="15" spans="1:17" ht="27.75" customHeight="1">
      <c r="A15" s="392"/>
      <c r="B15" s="406">
        <f>IF('Basic Data Entry'!$B13="","",'Basic Data Entry'!B13)</f>
        <v>4</v>
      </c>
      <c r="C15" s="384" t="str">
        <f>IF('Basic Data Entry'!$B13="","",'Basic Data Entry'!C13)</f>
        <v>D</v>
      </c>
      <c r="D15" s="453" t="str">
        <f>IF('Basic Data Entry'!$B13="","",'Basic Data Entry'!D13)</f>
        <v>Teacher</v>
      </c>
      <c r="E15" s="445">
        <f>IF('Basic Data Entry'!$B13="","",'Basic Data Entry'!E13)</f>
        <v>27</v>
      </c>
      <c r="F15" s="413">
        <f>IF('Basic Data Entry'!$B13="","",'Basic Data Entry'!F13)</f>
        <v>44958</v>
      </c>
      <c r="G15" s="431">
        <f>IF('Basic Data Entry'!$B13="","",'Basic Data Entry'!G13)</f>
        <v>69000</v>
      </c>
      <c r="H15" s="439">
        <f>IF('Basic Data Entry'!$B13="","",'Basic Data Entry'!H13)</f>
        <v>12</v>
      </c>
      <c r="I15" s="76">
        <f>IF('Basic Data Entry'!$B13="","",'Basic Data Entry'!J13)</f>
        <v>45017</v>
      </c>
      <c r="J15" s="77">
        <f>IF('Basic Data Entry'!$B13="","",IF('Basic Data Entry'!K13="","-----",'Basic Data Entry'!K13))</f>
        <v>71300</v>
      </c>
      <c r="K15" s="78">
        <f>IF('Basic Data Entry'!$B13="","",IF('Basic Data Entry'!L13="","-----",'Basic Data Entry'!L13))</f>
        <v>13</v>
      </c>
      <c r="L15" s="417">
        <f>IF('Basic Data Entry'!$B13="","",'Basic Data Entry'!O13)</f>
        <v>45017</v>
      </c>
      <c r="M15" s="76">
        <f>IF('Basic Data Entry'!$B13="","",'Basic Data Entry'!P13)</f>
        <v>45017</v>
      </c>
      <c r="N15" s="77">
        <f>IF('Basic Data Entry'!$B13="","",'Basic Data Entry'!Q13)</f>
        <v>73200</v>
      </c>
      <c r="O15" s="78">
        <f>IF('Basic Data Entry'!$B13="","",'Basic Data Entry'!S13)</f>
        <v>14</v>
      </c>
      <c r="P15" s="382" t="str">
        <f t="shared" ref="P15" si="2">IF(B15="","","01-07-2024")</f>
        <v>01-07-2024</v>
      </c>
      <c r="Q15" s="392"/>
    </row>
    <row r="16" spans="1:17" ht="27.75" customHeight="1">
      <c r="A16" s="392"/>
      <c r="B16" s="476"/>
      <c r="C16" s="385"/>
      <c r="D16" s="474"/>
      <c r="E16" s="446"/>
      <c r="F16" s="414"/>
      <c r="G16" s="432"/>
      <c r="H16" s="440"/>
      <c r="I16" s="85">
        <f>IF('Basic Data Entry'!$B13="","",IF('Basic Data Entry'!J14="","-----",'Basic Data Entry'!J14))</f>
        <v>45108</v>
      </c>
      <c r="J16" s="86">
        <f>IF('Basic Data Entry'!$B13="","",IF('Basic Data Entry'!K14="","-----",'Basic Data Entry'!K14))</f>
        <v>73400</v>
      </c>
      <c r="K16" s="87">
        <f>IF('Basic Data Entry'!$B13="","",IF('Basic Data Entry'!L14="","-----",'Basic Data Entry'!L14))</f>
        <v>13</v>
      </c>
      <c r="L16" s="443"/>
      <c r="M16" s="85">
        <f>IF('Basic Data Entry'!$B13="","",IF('Basic Data Entry'!P14="","-----",'Basic Data Entry'!P14))</f>
        <v>45108</v>
      </c>
      <c r="N16" s="86">
        <f>IF('Basic Data Entry'!$B13="","",IF('Basic Data Entry'!Q14="","-----",'Basic Data Entry'!Q14))</f>
        <v>75400</v>
      </c>
      <c r="O16" s="87">
        <f>IF(C15="","",IF('Basic Data Entry'!S14="","-----",'Basic Data Entry'!S14))</f>
        <v>14</v>
      </c>
      <c r="P16" s="466"/>
      <c r="Q16" s="392"/>
    </row>
    <row r="17" spans="1:17" ht="26.25" customHeight="1">
      <c r="A17" s="392"/>
      <c r="B17" s="409" t="str">
        <f>IF('Basic Data Entry'!$B15="","",'Basic Data Entry'!B15)</f>
        <v/>
      </c>
      <c r="C17" s="448" t="str">
        <f>IF('Basic Data Entry'!$B15="","",'Basic Data Entry'!C15)</f>
        <v/>
      </c>
      <c r="D17" s="415" t="str">
        <f>IF('Basic Data Entry'!$B15="","",'Basic Data Entry'!D15)</f>
        <v/>
      </c>
      <c r="E17" s="380" t="str">
        <f>IF('Basic Data Entry'!$B15="","",'Basic Data Entry'!E15)</f>
        <v/>
      </c>
      <c r="F17" s="470" t="str">
        <f>IF('Basic Data Entry'!$B15="","",'Basic Data Entry'!F15)</f>
        <v/>
      </c>
      <c r="G17" s="412" t="str">
        <f>IF('Basic Data Entry'!$B15="","",'Basic Data Entry'!G15)</f>
        <v/>
      </c>
      <c r="H17" s="434" t="str">
        <f>IF('Basic Data Entry'!$B15="","",'Basic Data Entry'!H15)</f>
        <v/>
      </c>
      <c r="I17" s="88" t="str">
        <f>IF('Basic Data Entry'!$B15="","",'Basic Data Entry'!J15)</f>
        <v/>
      </c>
      <c r="J17" s="89" t="str">
        <f>IF('Basic Data Entry'!$B15="","",IF('Basic Data Entry'!K15="","-----",'Basic Data Entry'!K15))</f>
        <v/>
      </c>
      <c r="K17" s="90" t="str">
        <f>IF('Basic Data Entry'!$B15="","",IF('Basic Data Entry'!L15="","-----",'Basic Data Entry'!L15))</f>
        <v/>
      </c>
      <c r="L17" s="452" t="str">
        <f>IF('Basic Data Entry'!$B15="","",'Basic Data Entry'!O15)</f>
        <v/>
      </c>
      <c r="M17" s="88" t="str">
        <f>IF('Basic Data Entry'!$B15="","",'Basic Data Entry'!P15)</f>
        <v/>
      </c>
      <c r="N17" s="89" t="str">
        <f>IF('Basic Data Entry'!$B15="","",'Basic Data Entry'!Q15)</f>
        <v/>
      </c>
      <c r="O17" s="90" t="str">
        <f>IF('Basic Data Entry'!$B15="","",'Basic Data Entry'!S15)</f>
        <v/>
      </c>
      <c r="P17" s="462" t="str">
        <f t="shared" ref="P17" si="3">IF(B17="","","01-07-2024")</f>
        <v/>
      </c>
      <c r="Q17" s="392"/>
    </row>
    <row r="18" spans="1:17" ht="26.25" customHeight="1">
      <c r="A18" s="392"/>
      <c r="B18" s="410"/>
      <c r="C18" s="438"/>
      <c r="D18" s="416"/>
      <c r="E18" s="381"/>
      <c r="F18" s="405"/>
      <c r="G18" s="400"/>
      <c r="H18" s="435"/>
      <c r="I18" s="73" t="str">
        <f>IF('Basic Data Entry'!$B15="","",IF('Basic Data Entry'!J16="","-----",'Basic Data Entry'!J16))</f>
        <v/>
      </c>
      <c r="J18" s="74" t="str">
        <f>IF('Basic Data Entry'!$B15="","",IF('Basic Data Entry'!K16="","-----",'Basic Data Entry'!K16))</f>
        <v/>
      </c>
      <c r="K18" s="75" t="str">
        <f>IF('Basic Data Entry'!$B15="","",IF('Basic Data Entry'!L16="","-----",'Basic Data Entry'!L16))</f>
        <v/>
      </c>
      <c r="L18" s="394"/>
      <c r="M18" s="73" t="str">
        <f>IF('Basic Data Entry'!$B15="","",IF('Basic Data Entry'!P16="","-----",'Basic Data Entry'!P16))</f>
        <v/>
      </c>
      <c r="N18" s="74" t="str">
        <f>IF('Basic Data Entry'!$B15="","",IF('Basic Data Entry'!Q16="","-----",'Basic Data Entry'!Q16))</f>
        <v/>
      </c>
      <c r="O18" s="75" t="str">
        <f>IF(C17="","",IF('Basic Data Entry'!S16="","-----",'Basic Data Entry'!S16))</f>
        <v/>
      </c>
      <c r="P18" s="396"/>
      <c r="Q18" s="392"/>
    </row>
    <row r="19" spans="1:17" ht="26.25" customHeight="1">
      <c r="A19" s="392"/>
      <c r="B19" s="406" t="str">
        <f>IF('Basic Data Entry'!$B17="","",'Basic Data Entry'!B17)</f>
        <v/>
      </c>
      <c r="C19" s="384" t="str">
        <f>IF('Basic Data Entry'!$B17="","",'Basic Data Entry'!C17)</f>
        <v/>
      </c>
      <c r="D19" s="453" t="str">
        <f>IF('Basic Data Entry'!$B17="","",'Basic Data Entry'!D17)</f>
        <v/>
      </c>
      <c r="E19" s="445" t="str">
        <f>IF('Basic Data Entry'!$B17="","",'Basic Data Entry'!E17)</f>
        <v/>
      </c>
      <c r="F19" s="413" t="str">
        <f>IF('Basic Data Entry'!$B17="","",'Basic Data Entry'!F17)</f>
        <v/>
      </c>
      <c r="G19" s="431" t="str">
        <f>IF('Basic Data Entry'!$B17="","",'Basic Data Entry'!G17)</f>
        <v/>
      </c>
      <c r="H19" s="439" t="str">
        <f>IF('Basic Data Entry'!$B17="","",'Basic Data Entry'!H17)</f>
        <v/>
      </c>
      <c r="I19" s="76" t="str">
        <f>IF('Basic Data Entry'!$B17="","",'Basic Data Entry'!J17)</f>
        <v/>
      </c>
      <c r="J19" s="77" t="str">
        <f>IF('Basic Data Entry'!$B17="","",IF('Basic Data Entry'!K17="","-----",'Basic Data Entry'!K17))</f>
        <v/>
      </c>
      <c r="K19" s="78" t="str">
        <f>IF('Basic Data Entry'!$B17="","",IF('Basic Data Entry'!L17="","-----",'Basic Data Entry'!L17))</f>
        <v/>
      </c>
      <c r="L19" s="417" t="str">
        <f>IF('Basic Data Entry'!$B17="","",'Basic Data Entry'!O17)</f>
        <v/>
      </c>
      <c r="M19" s="76" t="str">
        <f>IF('Basic Data Entry'!$B17="","",'Basic Data Entry'!P17)</f>
        <v/>
      </c>
      <c r="N19" s="77" t="str">
        <f>IF('Basic Data Entry'!$B17="","",'Basic Data Entry'!Q17)</f>
        <v/>
      </c>
      <c r="O19" s="78" t="str">
        <f>IF('Basic Data Entry'!$B17="","",'Basic Data Entry'!S17)</f>
        <v/>
      </c>
      <c r="P19" s="382" t="str">
        <f t="shared" ref="P19" si="4">IF(B19="","","01-07-2024")</f>
        <v/>
      </c>
      <c r="Q19" s="392"/>
    </row>
    <row r="20" spans="1:17" ht="26.25" customHeight="1">
      <c r="A20" s="392"/>
      <c r="B20" s="471"/>
      <c r="C20" s="424"/>
      <c r="D20" s="475"/>
      <c r="E20" s="449"/>
      <c r="F20" s="461"/>
      <c r="G20" s="444"/>
      <c r="H20" s="469"/>
      <c r="I20" s="91" t="str">
        <f>IF('Basic Data Entry'!$B17="","",IF('Basic Data Entry'!J18="","-----",'Basic Data Entry'!J18))</f>
        <v/>
      </c>
      <c r="J20" s="92" t="str">
        <f>IF('Basic Data Entry'!$B17="","",IF('Basic Data Entry'!K18="","-----",'Basic Data Entry'!K18))</f>
        <v/>
      </c>
      <c r="K20" s="93" t="str">
        <f>IF('Basic Data Entry'!$B17="","",IF('Basic Data Entry'!L18="","-----",'Basic Data Entry'!L18))</f>
        <v/>
      </c>
      <c r="L20" s="456"/>
      <c r="M20" s="91" t="str">
        <f>IF('Basic Data Entry'!$B17="","",IF('Basic Data Entry'!P18="","-----",'Basic Data Entry'!P18))</f>
        <v/>
      </c>
      <c r="N20" s="92" t="str">
        <f>IF('Basic Data Entry'!$B17="","",IF('Basic Data Entry'!Q18="","-----",'Basic Data Entry'!Q18))</f>
        <v/>
      </c>
      <c r="O20" s="93" t="str">
        <f>IF(C19="","",IF('Basic Data Entry'!S18="","-----",'Basic Data Entry'!S18))</f>
        <v/>
      </c>
      <c r="P20" s="468"/>
      <c r="Q20" s="392"/>
    </row>
    <row r="21" spans="1:17" ht="26.25" customHeight="1">
      <c r="A21" s="392"/>
      <c r="B21" s="436" t="str">
        <f>IF('Basic Data Entry'!$B19="","",'Basic Data Entry'!B19)</f>
        <v/>
      </c>
      <c r="C21" s="437" t="str">
        <f>IF('Basic Data Entry'!$B19="","",'Basic Data Entry'!C19)</f>
        <v/>
      </c>
      <c r="D21" s="442" t="str">
        <f>IF('Basic Data Entry'!$B19="","",'Basic Data Entry'!D19)</f>
        <v/>
      </c>
      <c r="E21" s="403" t="str">
        <f>IF('Basic Data Entry'!$B19="","",'Basic Data Entry'!E19)</f>
        <v/>
      </c>
      <c r="F21" s="404" t="str">
        <f>IF('Basic Data Entry'!$B19="","",'Basic Data Entry'!F19)</f>
        <v/>
      </c>
      <c r="G21" s="399" t="str">
        <f>IF('Basic Data Entry'!$B19="","",'Basic Data Entry'!G19)</f>
        <v/>
      </c>
      <c r="H21" s="386" t="str">
        <f>IF('Basic Data Entry'!$B19="","",'Basic Data Entry'!H19)</f>
        <v/>
      </c>
      <c r="I21" s="70" t="str">
        <f>IF('Basic Data Entry'!$B19="","",'Basic Data Entry'!J19)</f>
        <v/>
      </c>
      <c r="J21" s="71" t="str">
        <f>IF('Basic Data Entry'!$B19="","",IF('Basic Data Entry'!K19="","-----",'Basic Data Entry'!K19))</f>
        <v/>
      </c>
      <c r="K21" s="72" t="str">
        <f>IF('Basic Data Entry'!$B19="","",IF('Basic Data Entry'!L19="","-----",'Basic Data Entry'!L19))</f>
        <v/>
      </c>
      <c r="L21" s="393" t="str">
        <f>IF('Basic Data Entry'!$B19="","",'Basic Data Entry'!O19)</f>
        <v/>
      </c>
      <c r="M21" s="70" t="str">
        <f>IF('Basic Data Entry'!$B19="","",'Basic Data Entry'!P19)</f>
        <v/>
      </c>
      <c r="N21" s="71" t="str">
        <f>IF('Basic Data Entry'!$B19="","",'Basic Data Entry'!Q19)</f>
        <v/>
      </c>
      <c r="O21" s="72" t="str">
        <f>IF('Basic Data Entry'!$B19="","",'Basic Data Entry'!S19)</f>
        <v/>
      </c>
      <c r="P21" s="395" t="str">
        <f>IF(B21="","","01-07-2024")</f>
        <v/>
      </c>
      <c r="Q21" s="392"/>
    </row>
    <row r="22" spans="1:17" ht="26.25" customHeight="1">
      <c r="A22" s="392"/>
      <c r="B22" s="410"/>
      <c r="C22" s="438"/>
      <c r="D22" s="416"/>
      <c r="E22" s="381"/>
      <c r="F22" s="405"/>
      <c r="G22" s="400"/>
      <c r="H22" s="435"/>
      <c r="I22" s="73" t="str">
        <f>IF('Basic Data Entry'!$B19="","",IF('Basic Data Entry'!J20="","-----",'Basic Data Entry'!J20))</f>
        <v/>
      </c>
      <c r="J22" s="74" t="str">
        <f>IF('Basic Data Entry'!$B19="","",IF('Basic Data Entry'!K20="","-----",'Basic Data Entry'!K20))</f>
        <v/>
      </c>
      <c r="K22" s="75" t="str">
        <f>IF('Basic Data Entry'!$B19="","",IF('Basic Data Entry'!L20="","-----",'Basic Data Entry'!L20))</f>
        <v/>
      </c>
      <c r="L22" s="394"/>
      <c r="M22" s="73" t="str">
        <f>IF('Basic Data Entry'!$B19="","",IF('Basic Data Entry'!P20="","-----",'Basic Data Entry'!P20))</f>
        <v/>
      </c>
      <c r="N22" s="74" t="str">
        <f>IF('Basic Data Entry'!$B19="","",IF('Basic Data Entry'!Q20="","-----",'Basic Data Entry'!Q20))</f>
        <v/>
      </c>
      <c r="O22" s="75" t="str">
        <f>IF(C21="","",IF('Basic Data Entry'!S20="","-----",'Basic Data Entry'!S20))</f>
        <v/>
      </c>
      <c r="P22" s="396"/>
      <c r="Q22" s="392"/>
    </row>
    <row r="23" spans="1:17" ht="20.25" customHeight="1">
      <c r="A23" s="392"/>
      <c r="B23" s="457" t="s">
        <v>139</v>
      </c>
      <c r="C23" s="457"/>
      <c r="D23" s="457"/>
      <c r="E23" s="457"/>
      <c r="F23" s="457"/>
      <c r="G23" s="457"/>
      <c r="H23" s="457"/>
      <c r="I23" s="457"/>
      <c r="J23" s="457"/>
      <c r="K23" s="457"/>
      <c r="L23" s="457"/>
      <c r="M23" s="457"/>
      <c r="N23" s="457"/>
      <c r="O23" s="457"/>
      <c r="P23" s="457"/>
      <c r="Q23" s="392"/>
    </row>
    <row r="24" spans="1:17" ht="51" customHeight="1">
      <c r="A24" s="392"/>
      <c r="B24" s="392"/>
      <c r="C24" s="392"/>
      <c r="D24" s="392"/>
      <c r="E24" s="392"/>
      <c r="F24" s="392"/>
      <c r="G24" s="392"/>
      <c r="H24" s="392"/>
      <c r="I24" s="392"/>
      <c r="J24" s="392"/>
      <c r="K24" s="392"/>
      <c r="L24" s="392"/>
      <c r="M24" s="401" t="str">
        <f>CONCATENATE("ç/kkukpk;Z"," ",'Basic Data Entry'!$D$3)</f>
        <v>ç/kkukpk;Z jkmekfo jk;eyok³k] ckfi.kh ¼tks/kiqj½</v>
      </c>
      <c r="N24" s="402"/>
      <c r="O24" s="402"/>
      <c r="P24" s="402"/>
      <c r="Q24" s="392"/>
    </row>
    <row r="25" spans="1:17" ht="14.25" customHeight="1">
      <c r="A25" s="392"/>
      <c r="B25" s="478" t="str">
        <f>CONCATENATE(B3,"                            ",M3)</f>
        <v>Øekad%&amp;                            fnukad%&amp;--------------------------</v>
      </c>
      <c r="C25" s="478"/>
      <c r="D25" s="478"/>
      <c r="E25" s="478"/>
      <c r="F25" s="478"/>
      <c r="G25" s="478"/>
      <c r="H25" s="478"/>
      <c r="I25" s="478"/>
      <c r="J25" s="478"/>
      <c r="K25" s="478"/>
      <c r="L25" s="478"/>
      <c r="M25" s="478"/>
      <c r="N25" s="478"/>
      <c r="O25" s="478"/>
      <c r="P25" s="478"/>
      <c r="Q25" s="392"/>
    </row>
    <row r="26" spans="1:17" ht="14.25" customHeight="1">
      <c r="A26" s="392"/>
      <c r="B26" s="398" t="s">
        <v>118</v>
      </c>
      <c r="C26" s="398"/>
      <c r="D26" s="398"/>
      <c r="E26" s="398"/>
      <c r="F26" s="398"/>
      <c r="G26" s="398"/>
      <c r="H26" s="398"/>
      <c r="I26" s="398"/>
      <c r="J26" s="398"/>
      <c r="K26" s="398"/>
      <c r="L26" s="398"/>
      <c r="M26" s="398"/>
      <c r="N26" s="398"/>
      <c r="O26" s="398"/>
      <c r="P26" s="398"/>
      <c r="Q26" s="392"/>
    </row>
    <row r="27" spans="1:17" ht="14.25" customHeight="1">
      <c r="A27" s="392"/>
      <c r="B27" s="467" t="s">
        <v>119</v>
      </c>
      <c r="C27" s="467"/>
      <c r="D27" s="467"/>
      <c r="E27" s="467"/>
      <c r="F27" s="467"/>
      <c r="G27" s="467"/>
      <c r="H27" s="467"/>
      <c r="I27" s="467"/>
      <c r="J27" s="467"/>
      <c r="K27" s="467"/>
      <c r="L27" s="467"/>
      <c r="M27" s="467"/>
      <c r="N27" s="467"/>
      <c r="O27" s="467"/>
      <c r="P27" s="467"/>
      <c r="Q27" s="392"/>
    </row>
    <row r="28" spans="1:17" ht="14.25" customHeight="1">
      <c r="A28" s="392"/>
      <c r="B28" s="467" t="s">
        <v>120</v>
      </c>
      <c r="C28" s="467"/>
      <c r="D28" s="467"/>
      <c r="E28" s="467"/>
      <c r="F28" s="467"/>
      <c r="G28" s="467"/>
      <c r="H28" s="467"/>
      <c r="I28" s="467"/>
      <c r="J28" s="467"/>
      <c r="K28" s="467"/>
      <c r="L28" s="467"/>
      <c r="M28" s="467"/>
      <c r="N28" s="467"/>
      <c r="O28" s="467"/>
      <c r="P28" s="467"/>
      <c r="Q28" s="392"/>
    </row>
    <row r="29" spans="1:17" ht="14.25" customHeight="1">
      <c r="A29" s="392"/>
      <c r="B29" s="467" t="s">
        <v>121</v>
      </c>
      <c r="C29" s="467"/>
      <c r="D29" s="467"/>
      <c r="E29" s="467"/>
      <c r="F29" s="467"/>
      <c r="G29" s="467"/>
      <c r="H29" s="467"/>
      <c r="I29" s="467"/>
      <c r="J29" s="467"/>
      <c r="K29" s="467"/>
      <c r="L29" s="467"/>
      <c r="M29" s="467"/>
      <c r="N29" s="467"/>
      <c r="O29" s="467"/>
      <c r="P29" s="467"/>
      <c r="Q29" s="392"/>
    </row>
    <row r="30" spans="1:17" ht="40.5" customHeight="1">
      <c r="A30" s="392"/>
      <c r="B30" s="392"/>
      <c r="C30" s="392"/>
      <c r="D30" s="392"/>
      <c r="E30" s="392"/>
      <c r="F30" s="392"/>
      <c r="G30" s="392"/>
      <c r="H30" s="392"/>
      <c r="I30" s="392"/>
      <c r="J30" s="392"/>
      <c r="K30" s="392"/>
      <c r="L30" s="392"/>
      <c r="M30" s="480" t="str">
        <f>M24</f>
        <v>ç/kkukpk;Z jkmekfo jk;eyok³k] ckfi.kh ¼tks/kiqj½</v>
      </c>
      <c r="N30" s="481"/>
      <c r="O30" s="481"/>
      <c r="P30" s="481"/>
      <c r="Q30" s="392"/>
    </row>
    <row r="31" spans="1:17" ht="8.25" customHeight="1">
      <c r="A31" s="392"/>
      <c r="B31" s="392"/>
      <c r="C31" s="392"/>
      <c r="D31" s="392"/>
      <c r="E31" s="392"/>
      <c r="F31" s="392"/>
      <c r="G31" s="392"/>
      <c r="H31" s="392"/>
      <c r="I31" s="392"/>
      <c r="J31" s="392"/>
      <c r="K31" s="392"/>
      <c r="L31" s="392"/>
      <c r="M31" s="392"/>
      <c r="N31" s="392"/>
      <c r="O31" s="392"/>
      <c r="P31" s="392"/>
      <c r="Q31" s="392"/>
    </row>
    <row r="32" spans="1:17" hidden="1">
      <c r="A32" s="392"/>
      <c r="Q32" s="392"/>
    </row>
    <row r="33" spans="1:17" hidden="1">
      <c r="A33" s="392"/>
      <c r="B33" s="392"/>
      <c r="C33" s="392"/>
      <c r="D33" s="392"/>
      <c r="E33" s="392"/>
      <c r="F33" s="392"/>
      <c r="G33" s="392"/>
      <c r="H33" s="392"/>
      <c r="I33" s="392"/>
      <c r="J33" s="392"/>
      <c r="K33" s="392"/>
      <c r="L33" s="392"/>
      <c r="M33" s="392"/>
      <c r="N33" s="392"/>
      <c r="O33" s="392"/>
      <c r="P33" s="392"/>
      <c r="Q33" s="392"/>
    </row>
    <row r="34" spans="1:17" hidden="1"/>
    <row r="35" spans="1:17" hidden="1"/>
    <row r="36" spans="1:17" hidden="1"/>
    <row r="37" spans="1:17" hidden="1"/>
    <row r="38" spans="1:17" hidden="1"/>
    <row r="39" spans="1:17" hidden="1"/>
    <row r="40" spans="1:17" hidden="1"/>
    <row r="41" spans="1:17" hidden="1"/>
    <row r="42" spans="1:17" hidden="1"/>
    <row r="43" spans="1:17" hidden="1"/>
    <row r="44" spans="1:17" hidden="1"/>
    <row r="45" spans="1:17" hidden="1"/>
    <row r="46" spans="1:17" hidden="1"/>
    <row r="47" spans="1:17" hidden="1"/>
    <row r="48" spans="1:17" hidden="1"/>
  </sheetData>
  <sheetProtection sheet="1" objects="1" scenarios="1" formatColumns="0" formatRows="0"/>
  <mergeCells count="92">
    <mergeCell ref="Q2:Q32"/>
    <mergeCell ref="D15:D16"/>
    <mergeCell ref="C6:C7"/>
    <mergeCell ref="D19:D20"/>
    <mergeCell ref="B15:B16"/>
    <mergeCell ref="E13:E14"/>
    <mergeCell ref="B25:P25"/>
    <mergeCell ref="F11:F12"/>
    <mergeCell ref="M30:P30"/>
    <mergeCell ref="E11:E12"/>
    <mergeCell ref="B21:B22"/>
    <mergeCell ref="A2:A32"/>
    <mergeCell ref="B27:P27"/>
    <mergeCell ref="P19:P20"/>
    <mergeCell ref="B29:P29"/>
    <mergeCell ref="H19:H20"/>
    <mergeCell ref="B31:P31"/>
    <mergeCell ref="H21:H22"/>
    <mergeCell ref="B30:L30"/>
    <mergeCell ref="C9:C10"/>
    <mergeCell ref="F17:F18"/>
    <mergeCell ref="G6:H6"/>
    <mergeCell ref="B28:P28"/>
    <mergeCell ref="B19:B20"/>
    <mergeCell ref="D13:D14"/>
    <mergeCell ref="C13:C14"/>
    <mergeCell ref="L9:L10"/>
    <mergeCell ref="B23:P23"/>
    <mergeCell ref="B24:L24"/>
    <mergeCell ref="D21:D22"/>
    <mergeCell ref="B4:P4"/>
    <mergeCell ref="F19:F20"/>
    <mergeCell ref="P17:P18"/>
    <mergeCell ref="P13:P14"/>
    <mergeCell ref="P6:P7"/>
    <mergeCell ref="P9:P10"/>
    <mergeCell ref="P15:P16"/>
    <mergeCell ref="H9:H10"/>
    <mergeCell ref="C21:C22"/>
    <mergeCell ref="H15:H16"/>
    <mergeCell ref="H11:H12"/>
    <mergeCell ref="D9:D10"/>
    <mergeCell ref="L15:L16"/>
    <mergeCell ref="G19:G20"/>
    <mergeCell ref="E15:E16"/>
    <mergeCell ref="F9:F10"/>
    <mergeCell ref="L13:L14"/>
    <mergeCell ref="C17:C18"/>
    <mergeCell ref="E19:E20"/>
    <mergeCell ref="F13:F14"/>
    <mergeCell ref="L17:L18"/>
    <mergeCell ref="E9:E10"/>
    <mergeCell ref="D11:D12"/>
    <mergeCell ref="L19:L20"/>
    <mergeCell ref="C19:C20"/>
    <mergeCell ref="E6:E7"/>
    <mergeCell ref="D6:D7"/>
    <mergeCell ref="F6:F7"/>
    <mergeCell ref="G15:G16"/>
    <mergeCell ref="G11:G12"/>
    <mergeCell ref="A1:Q1"/>
    <mergeCell ref="A33:Q33"/>
    <mergeCell ref="L21:L22"/>
    <mergeCell ref="P21:P22"/>
    <mergeCell ref="C11:C12"/>
    <mergeCell ref="B26:P26"/>
    <mergeCell ref="G21:G22"/>
    <mergeCell ref="M24:P24"/>
    <mergeCell ref="E21:E22"/>
    <mergeCell ref="F21:F22"/>
    <mergeCell ref="G9:G10"/>
    <mergeCell ref="B11:B12"/>
    <mergeCell ref="L6:O6"/>
    <mergeCell ref="B17:B18"/>
    <mergeCell ref="G13:G14"/>
    <mergeCell ref="G17:G18"/>
    <mergeCell ref="B2:P2"/>
    <mergeCell ref="E17:E18"/>
    <mergeCell ref="P11:P12"/>
    <mergeCell ref="C15:C16"/>
    <mergeCell ref="H13:H14"/>
    <mergeCell ref="B3:L3"/>
    <mergeCell ref="M3:P3"/>
    <mergeCell ref="F15:F16"/>
    <mergeCell ref="D17:D18"/>
    <mergeCell ref="L11:L12"/>
    <mergeCell ref="B5:P5"/>
    <mergeCell ref="B6:B7"/>
    <mergeCell ref="H17:H18"/>
    <mergeCell ref="B9:B10"/>
    <mergeCell ref="B13:B14"/>
    <mergeCell ref="I6:K6"/>
  </mergeCells>
  <conditionalFormatting sqref="L9:L22">
    <cfRule type="cellIs" dxfId="9" priority="3" operator="equal">
      <formula>"MACP Not Applicable"</formula>
    </cfRule>
  </conditionalFormatting>
  <conditionalFormatting sqref="M9:O22">
    <cfRule type="expression" dxfId="8" priority="4">
      <formula>$M9="------"</formula>
    </cfRule>
  </conditionalFormatting>
  <pageMargins left="0.32" right="0.25" top="0.15" bottom="0.11" header="0.12" footer="0.1"/>
  <pageSetup paperSize="9" scale="64" orientation="landscape"/>
</worksheet>
</file>

<file path=xl/worksheets/sheet3.xml><?xml version="1.0" encoding="utf-8"?>
<worksheet xmlns="http://schemas.openxmlformats.org/spreadsheetml/2006/main" xmlns:r="http://schemas.openxmlformats.org/officeDocument/2006/relationships">
  <sheetPr>
    <tabColor rgb="FF00B050"/>
  </sheetPr>
  <dimension ref="A1:AY76"/>
  <sheetViews>
    <sheetView showGridLines="0" topLeftCell="S10" zoomScale="85" workbookViewId="0">
      <selection activeCell="V21" sqref="V21"/>
    </sheetView>
  </sheetViews>
  <sheetFormatPr defaultColWidth="0" defaultRowHeight="15" zeroHeight="1"/>
  <cols>
    <col min="1" max="1" width="2.42578125" style="1" customWidth="1"/>
    <col min="2" max="2" width="19.85546875" style="1" customWidth="1"/>
    <col min="3" max="3" width="1.7109375" style="1" customWidth="1"/>
    <col min="4" max="5" width="8.85546875" style="1" hidden="1" customWidth="1"/>
    <col min="6" max="6" width="0.140625" style="1" hidden="1" customWidth="1"/>
    <col min="7" max="9" width="8.85546875" style="1" hidden="1" customWidth="1"/>
    <col min="10" max="10" width="4.140625" style="1" hidden="1" customWidth="1"/>
    <col min="11" max="11" width="8.85546875" style="1" hidden="1" customWidth="1"/>
    <col min="12" max="12" width="10.28515625" style="1" hidden="1" customWidth="1"/>
    <col min="13" max="13" width="7.28515625" style="1" hidden="1" customWidth="1"/>
    <col min="14" max="14" width="13.140625" style="195" hidden="1" customWidth="1"/>
    <col min="15" max="15" width="15.140625" style="1" hidden="1" customWidth="1"/>
    <col min="16" max="18" width="15.140625" style="195" hidden="1" customWidth="1"/>
    <col min="19" max="19" width="14" style="1" customWidth="1"/>
    <col min="20" max="20" width="4.5703125" style="1" customWidth="1"/>
    <col min="21" max="21" width="11.42578125" style="1" customWidth="1"/>
    <col min="22" max="23" width="6.7109375" style="1" customWidth="1"/>
    <col min="24" max="24" width="6" style="1" customWidth="1"/>
    <col min="25" max="25" width="6.7109375" style="1" customWidth="1"/>
    <col min="26" max="26" width="10.42578125" style="1" customWidth="1"/>
    <col min="27" max="28" width="6.7109375" style="1" customWidth="1"/>
    <col min="29" max="29" width="5.85546875" style="1" customWidth="1"/>
    <col min="30" max="30" width="6.7109375" style="1" customWidth="1"/>
    <col min="31" max="31" width="10.42578125" style="1" customWidth="1"/>
    <col min="32" max="33" width="6.7109375" style="1" customWidth="1"/>
    <col min="34" max="34" width="6.140625" style="1" hidden="1" customWidth="1"/>
    <col min="35" max="35" width="5.42578125" style="1" customWidth="1"/>
    <col min="36" max="36" width="6.7109375" style="1" customWidth="1"/>
    <col min="37" max="37" width="7.85546875" style="1" customWidth="1"/>
    <col min="38" max="42" width="6.7109375" style="1" customWidth="1"/>
    <col min="43" max="43" width="5.5703125" style="1" customWidth="1"/>
    <col min="44" max="47" width="6.42578125" style="1" customWidth="1"/>
    <col min="48" max="49" width="8.5703125" style="1" customWidth="1"/>
    <col min="50" max="50" width="16.85546875" style="1" customWidth="1"/>
    <col min="51" max="51" width="2.5703125" style="3" customWidth="1"/>
    <col min="52" max="16384" width="10.7109375" style="1" hidden="1"/>
  </cols>
  <sheetData>
    <row r="1" spans="1:51" ht="24" hidden="1" customHeight="1">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row>
    <row r="2" spans="1:51" ht="33" hidden="1" customHeight="1">
      <c r="T2" s="581"/>
      <c r="U2" s="581"/>
      <c r="V2" s="536"/>
      <c r="W2" s="536"/>
      <c r="X2" s="536"/>
      <c r="Y2" s="564" t="e">
        <f>'Basic Data Entry'!#REF!</f>
        <v>#REF!</v>
      </c>
      <c r="Z2" s="564"/>
      <c r="AA2" s="564"/>
      <c r="AB2" s="564"/>
      <c r="AC2" s="577" t="s">
        <v>34</v>
      </c>
      <c r="AD2" s="577"/>
      <c r="AE2" s="582" t="e">
        <f>'Basic Data Entry'!#REF!</f>
        <v>#REF!</v>
      </c>
      <c r="AF2" s="582"/>
      <c r="AG2" s="582"/>
      <c r="AH2" s="582"/>
      <c r="AI2" s="582"/>
      <c r="AJ2" s="94" t="s">
        <v>32</v>
      </c>
      <c r="AK2" s="582" t="e">
        <f>'Basic Data Entry'!#REF!</f>
        <v>#REF!</v>
      </c>
      <c r="AL2" s="582"/>
      <c r="AM2" s="582"/>
      <c r="AN2" s="492" t="s">
        <v>35</v>
      </c>
      <c r="AO2" s="492"/>
      <c r="AP2" s="492"/>
      <c r="AQ2" s="492"/>
      <c r="AR2" s="492"/>
      <c r="AS2" s="492"/>
      <c r="AT2" s="492"/>
      <c r="AU2" s="492"/>
      <c r="AV2" s="492"/>
      <c r="AW2" s="492"/>
      <c r="AX2" s="95" t="e">
        <f>'Basic Data Entry'!#REF!</f>
        <v>#REF!</v>
      </c>
      <c r="AY2" s="96"/>
    </row>
    <row r="3" spans="1:51" ht="28.5" hidden="1" customHeight="1">
      <c r="T3" s="589"/>
      <c r="U3" s="589"/>
      <c r="V3" s="531"/>
      <c r="W3" s="531"/>
      <c r="X3" s="531"/>
      <c r="Y3" s="531"/>
      <c r="Z3" s="531"/>
      <c r="AA3" s="531"/>
      <c r="AB3" s="531"/>
      <c r="AC3" s="531"/>
      <c r="AD3" s="531"/>
      <c r="AE3" s="531"/>
      <c r="AF3" s="531"/>
      <c r="AG3" s="531"/>
      <c r="AH3" s="531"/>
      <c r="AI3" s="531"/>
      <c r="AJ3" s="531"/>
      <c r="AK3" s="531"/>
      <c r="AL3" s="531"/>
      <c r="AM3" s="531"/>
      <c r="AN3" s="531"/>
      <c r="AO3" s="531"/>
      <c r="AP3" s="531"/>
      <c r="AQ3" s="531"/>
      <c r="AR3" s="531"/>
      <c r="AS3" s="531"/>
      <c r="AT3" s="531"/>
      <c r="AU3" s="531"/>
      <c r="AV3" s="531"/>
      <c r="AW3" s="531"/>
      <c r="AX3" s="531"/>
      <c r="AY3" s="96"/>
    </row>
    <row r="4" spans="1:51" ht="60" customHeight="1">
      <c r="A4" s="242"/>
      <c r="B4" s="538" t="s">
        <v>103</v>
      </c>
      <c r="C4" s="242"/>
      <c r="D4" s="97"/>
      <c r="E4" s="97"/>
      <c r="F4" s="97"/>
      <c r="G4" s="97"/>
      <c r="H4" s="97"/>
      <c r="I4" s="97"/>
      <c r="J4" s="97"/>
      <c r="K4" s="97"/>
      <c r="L4" s="97"/>
      <c r="M4" s="97"/>
      <c r="N4" s="97"/>
      <c r="O4" s="60"/>
      <c r="P4" s="97"/>
      <c r="Q4" s="97"/>
      <c r="R4" s="97"/>
      <c r="S4" s="242"/>
      <c r="T4" s="533" t="str">
        <f>'MACP Order'!B2</f>
        <v>dk;kZy;% ç/kkukpk;Z] jkmekfo jk;eyok³k] ckfi.kh ¼tks/kiqj½</v>
      </c>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5"/>
      <c r="AY4" s="96"/>
    </row>
    <row r="5" spans="1:51" ht="25.5" customHeight="1">
      <c r="A5" s="242"/>
      <c r="B5" s="539"/>
      <c r="C5" s="242"/>
      <c r="D5" s="97"/>
      <c r="E5" s="97"/>
      <c r="F5" s="97"/>
      <c r="G5" s="97"/>
      <c r="H5" s="97"/>
      <c r="I5" s="97"/>
      <c r="J5" s="97"/>
      <c r="K5" s="97"/>
      <c r="L5" s="97"/>
      <c r="M5" s="97"/>
      <c r="N5" s="97"/>
      <c r="O5" s="60"/>
      <c r="P5" s="97"/>
      <c r="Q5" s="97"/>
      <c r="R5" s="97"/>
      <c r="S5" s="242"/>
      <c r="T5" s="578" t="s">
        <v>29</v>
      </c>
      <c r="U5" s="579"/>
      <c r="V5" s="579"/>
      <c r="W5" s="579"/>
      <c r="X5" s="579"/>
      <c r="Y5" s="579"/>
      <c r="Z5" s="579"/>
      <c r="AA5" s="579"/>
      <c r="AB5" s="579"/>
      <c r="AC5" s="579"/>
      <c r="AD5" s="579"/>
      <c r="AE5" s="579"/>
      <c r="AF5" s="579"/>
      <c r="AG5" s="579"/>
      <c r="AH5" s="579"/>
      <c r="AI5" s="579"/>
      <c r="AJ5" s="579"/>
      <c r="AK5" s="579"/>
      <c r="AL5" s="579"/>
      <c r="AM5" s="579"/>
      <c r="AN5" s="579"/>
      <c r="AO5" s="579"/>
      <c r="AP5" s="579"/>
      <c r="AQ5" s="579"/>
      <c r="AR5" s="579"/>
      <c r="AS5" s="579"/>
      <c r="AT5" s="579"/>
      <c r="AU5" s="579"/>
      <c r="AV5" s="579"/>
      <c r="AW5" s="579"/>
      <c r="AX5" s="580"/>
      <c r="AY5" s="96"/>
    </row>
    <row r="6" spans="1:51" ht="99" customHeight="1" thickBot="1">
      <c r="A6" s="242"/>
      <c r="B6" s="539"/>
      <c r="C6" s="242"/>
      <c r="D6" s="97"/>
      <c r="E6" s="97"/>
      <c r="F6" s="97"/>
      <c r="G6" s="97"/>
      <c r="H6" s="97"/>
      <c r="I6" s="97"/>
      <c r="J6" s="97"/>
      <c r="K6" s="97"/>
      <c r="L6" s="97"/>
      <c r="M6" s="97"/>
      <c r="N6" s="97"/>
      <c r="O6" s="60"/>
      <c r="P6" s="97"/>
      <c r="Q6" s="97"/>
      <c r="R6" s="97"/>
      <c r="S6" s="242"/>
      <c r="T6" s="484" t="s">
        <v>141</v>
      </c>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5"/>
      <c r="AS6" s="485"/>
      <c r="AT6" s="485"/>
      <c r="AU6" s="485"/>
      <c r="AV6" s="485"/>
      <c r="AW6" s="485"/>
      <c r="AX6" s="486"/>
      <c r="AY6" s="96"/>
    </row>
    <row r="7" spans="1:51" ht="19.5" thickBot="1">
      <c r="A7" s="242"/>
      <c r="B7" s="499" t="s">
        <v>99</v>
      </c>
      <c r="C7" s="242"/>
      <c r="D7" s="97"/>
      <c r="E7" s="97"/>
      <c r="F7" s="97"/>
      <c r="G7" s="97"/>
      <c r="H7" s="97"/>
      <c r="I7" s="97"/>
      <c r="J7" s="97"/>
      <c r="K7" s="97"/>
      <c r="L7" s="97"/>
      <c r="M7" s="97"/>
      <c r="N7" s="97"/>
      <c r="O7" s="60"/>
      <c r="P7" s="97"/>
      <c r="Q7" s="97"/>
      <c r="R7" s="97"/>
      <c r="S7" s="242"/>
      <c r="T7" s="529" t="s">
        <v>0</v>
      </c>
      <c r="U7" s="530"/>
      <c r="V7" s="530"/>
      <c r="W7" s="530"/>
      <c r="X7" s="510" t="str">
        <f>B7</f>
        <v>B</v>
      </c>
      <c r="Y7" s="510"/>
      <c r="Z7" s="510"/>
      <c r="AA7" s="510"/>
      <c r="AB7" s="510"/>
      <c r="AC7" s="510"/>
      <c r="AD7" s="537"/>
      <c r="AE7" s="537"/>
      <c r="AF7" s="537"/>
      <c r="AG7" s="537"/>
      <c r="AH7" s="537"/>
      <c r="AI7" s="537"/>
      <c r="AJ7" s="537"/>
      <c r="AK7" s="537"/>
      <c r="AL7" s="537"/>
      <c r="AM7" s="530" t="s">
        <v>110</v>
      </c>
      <c r="AN7" s="530"/>
      <c r="AO7" s="530"/>
      <c r="AP7" s="530"/>
      <c r="AQ7" s="584" t="str">
        <f>IFERROR(VLOOKUP(B7,'Basic Data Entry'!C7:D20,2),"")</f>
        <v>Teacher</v>
      </c>
      <c r="AR7" s="584"/>
      <c r="AS7" s="584"/>
      <c r="AT7" s="584"/>
      <c r="AU7" s="584"/>
      <c r="AV7" s="584"/>
      <c r="AW7" s="584"/>
      <c r="AX7" s="585"/>
      <c r="AY7" s="96"/>
    </row>
    <row r="8" spans="1:51" s="98" customFormat="1" ht="27" thickBot="1">
      <c r="A8" s="242"/>
      <c r="B8" s="500"/>
      <c r="C8" s="242"/>
      <c r="D8" s="97"/>
      <c r="E8" s="97"/>
      <c r="F8" s="97"/>
      <c r="G8" s="97"/>
      <c r="H8" s="97"/>
      <c r="I8" s="97"/>
      <c r="J8" s="97"/>
      <c r="K8" s="97"/>
      <c r="L8" s="97"/>
      <c r="M8" s="97"/>
      <c r="N8" s="97"/>
      <c r="O8" s="60"/>
      <c r="P8" s="97"/>
      <c r="Q8" s="97"/>
      <c r="R8" s="97"/>
      <c r="S8" s="242"/>
      <c r="T8" s="543" t="s">
        <v>84</v>
      </c>
      <c r="U8" s="544"/>
      <c r="V8" s="544"/>
      <c r="W8" s="544"/>
      <c r="X8" s="544"/>
      <c r="Y8" s="544"/>
      <c r="Z8" s="544"/>
      <c r="AA8" s="544"/>
      <c r="AB8" s="544"/>
      <c r="AC8" s="544"/>
      <c r="AD8" s="544"/>
      <c r="AE8" s="544"/>
      <c r="AF8" s="544"/>
      <c r="AG8" s="99" t="s">
        <v>31</v>
      </c>
      <c r="AH8" s="99"/>
      <c r="AI8" s="532">
        <f>IFERROR(VLOOKUP(B7,'Basic Data Entry'!C7:X20,18,0),"")</f>
        <v>45017</v>
      </c>
      <c r="AJ8" s="532"/>
      <c r="AK8" s="532"/>
      <c r="AL8" s="100" t="s">
        <v>32</v>
      </c>
      <c r="AM8" s="532">
        <f>IFERROR(VLOOKUP(B7,'Basic Data Entry'!C7:X20,20,0),"")</f>
        <v>45322</v>
      </c>
      <c r="AN8" s="532"/>
      <c r="AO8" s="532"/>
      <c r="AP8" s="101" t="s">
        <v>33</v>
      </c>
      <c r="AQ8" s="101"/>
      <c r="AR8" s="565"/>
      <c r="AS8" s="565"/>
      <c r="AT8" s="565"/>
      <c r="AU8" s="565"/>
      <c r="AV8" s="565"/>
      <c r="AW8" s="565"/>
      <c r="AX8" s="566"/>
      <c r="AY8" s="96"/>
    </row>
    <row r="9" spans="1:51" ht="27.75" customHeight="1">
      <c r="A9" s="242"/>
      <c r="B9" s="562"/>
      <c r="C9" s="242"/>
      <c r="D9" s="97"/>
      <c r="E9" s="97"/>
      <c r="F9" s="97"/>
      <c r="G9" s="97"/>
      <c r="H9" s="97"/>
      <c r="I9" s="97"/>
      <c r="J9" s="97"/>
      <c r="K9" s="97"/>
      <c r="L9" s="97"/>
      <c r="M9" s="97"/>
      <c r="N9" s="97"/>
      <c r="O9" s="60"/>
      <c r="P9" s="97"/>
      <c r="Q9" s="97"/>
      <c r="R9" s="97"/>
      <c r="S9" s="242"/>
      <c r="T9" s="567" t="s">
        <v>1</v>
      </c>
      <c r="U9" s="541" t="s">
        <v>2</v>
      </c>
      <c r="V9" s="556" t="s">
        <v>41</v>
      </c>
      <c r="W9" s="557"/>
      <c r="X9" s="557"/>
      <c r="Y9" s="557"/>
      <c r="Z9" s="558"/>
      <c r="AA9" s="519" t="s">
        <v>42</v>
      </c>
      <c r="AB9" s="520"/>
      <c r="AC9" s="520"/>
      <c r="AD9" s="520"/>
      <c r="AE9" s="521"/>
      <c r="AF9" s="519" t="s">
        <v>3</v>
      </c>
      <c r="AG9" s="520"/>
      <c r="AH9" s="520"/>
      <c r="AI9" s="520"/>
      <c r="AJ9" s="520"/>
      <c r="AK9" s="521"/>
      <c r="AL9" s="516" t="s">
        <v>43</v>
      </c>
      <c r="AM9" s="517"/>
      <c r="AN9" s="518"/>
      <c r="AO9" s="516" t="s">
        <v>4</v>
      </c>
      <c r="AP9" s="517"/>
      <c r="AQ9" s="597"/>
      <c r="AR9" s="513" t="s">
        <v>39</v>
      </c>
      <c r="AS9" s="514"/>
      <c r="AT9" s="515"/>
      <c r="AU9" s="592" t="s">
        <v>5</v>
      </c>
      <c r="AV9" s="587" t="s">
        <v>6</v>
      </c>
      <c r="AW9" s="554" t="s">
        <v>7</v>
      </c>
      <c r="AX9" s="575" t="s">
        <v>8</v>
      </c>
      <c r="AY9" s="96"/>
    </row>
    <row r="10" spans="1:51" ht="55.5" customHeight="1" thickBot="1">
      <c r="A10" s="242"/>
      <c r="B10" s="563"/>
      <c r="C10" s="242"/>
      <c r="D10" s="97"/>
      <c r="E10" s="97"/>
      <c r="F10" s="97"/>
      <c r="G10" s="97"/>
      <c r="H10" s="97"/>
      <c r="I10" s="97"/>
      <c r="J10" s="97"/>
      <c r="K10" s="97"/>
      <c r="L10" s="97"/>
      <c r="M10" s="97"/>
      <c r="N10" s="97"/>
      <c r="O10" s="60"/>
      <c r="P10" s="97"/>
      <c r="Q10" s="97"/>
      <c r="R10" s="97"/>
      <c r="S10" s="242"/>
      <c r="T10" s="568"/>
      <c r="U10" s="542"/>
      <c r="V10" s="102" t="s">
        <v>9</v>
      </c>
      <c r="W10" s="103" t="s">
        <v>10</v>
      </c>
      <c r="X10" s="104"/>
      <c r="Y10" s="103" t="s">
        <v>11</v>
      </c>
      <c r="Z10" s="105" t="s">
        <v>12</v>
      </c>
      <c r="AA10" s="106" t="s">
        <v>9</v>
      </c>
      <c r="AB10" s="107" t="s">
        <v>10</v>
      </c>
      <c r="AC10" s="108">
        <f>X10</f>
        <v>0</v>
      </c>
      <c r="AD10" s="107" t="s">
        <v>11</v>
      </c>
      <c r="AE10" s="109" t="s">
        <v>12</v>
      </c>
      <c r="AF10" s="106" t="s">
        <v>9</v>
      </c>
      <c r="AG10" s="107" t="s">
        <v>10</v>
      </c>
      <c r="AH10" s="107"/>
      <c r="AI10" s="108">
        <f>AC10</f>
        <v>0</v>
      </c>
      <c r="AJ10" s="107" t="s">
        <v>11</v>
      </c>
      <c r="AK10" s="109" t="s">
        <v>12</v>
      </c>
      <c r="AL10" s="110" t="s">
        <v>13</v>
      </c>
      <c r="AM10" s="111" t="s">
        <v>14</v>
      </c>
      <c r="AN10" s="112" t="s">
        <v>15</v>
      </c>
      <c r="AO10" s="110" t="s">
        <v>13</v>
      </c>
      <c r="AP10" s="111" t="s">
        <v>14</v>
      </c>
      <c r="AQ10" s="113" t="s">
        <v>15</v>
      </c>
      <c r="AR10" s="110" t="s">
        <v>13</v>
      </c>
      <c r="AS10" s="111" t="s">
        <v>14</v>
      </c>
      <c r="AT10" s="112" t="s">
        <v>15</v>
      </c>
      <c r="AU10" s="593"/>
      <c r="AV10" s="588"/>
      <c r="AW10" s="555"/>
      <c r="AX10" s="576"/>
      <c r="AY10" s="96"/>
    </row>
    <row r="11" spans="1:51" ht="26.25" customHeight="1">
      <c r="A11" s="242"/>
      <c r="B11" s="563"/>
      <c r="C11" s="242"/>
      <c r="D11" s="114">
        <f>IFERROR(VLOOKUP(B7,'Basic Data Entry'!C7:X20,18,0),"")</f>
        <v>45017</v>
      </c>
      <c r="E11" s="114">
        <f>EOMONTH(D11,0)</f>
        <v>45046</v>
      </c>
      <c r="F11" s="115">
        <f>DAY(E11)</f>
        <v>30</v>
      </c>
      <c r="G11" s="115">
        <f>DAY(D11)</f>
        <v>1</v>
      </c>
      <c r="H11" s="115">
        <f>F11-G11+1</f>
        <v>30</v>
      </c>
      <c r="I11" s="115">
        <f>F11-H11</f>
        <v>0</v>
      </c>
      <c r="J11" s="115">
        <f>IF(U11="","",MONTH(U11))</f>
        <v>4</v>
      </c>
      <c r="K11" s="114">
        <f>IFERROR(VLOOKUP(B7,'Basic Data Entry'!C7:X20,20,0),"")</f>
        <v>45322</v>
      </c>
      <c r="L11" s="115">
        <f>MONTH(K11)</f>
        <v>1</v>
      </c>
      <c r="M11" s="116">
        <f>IFERROR(VLOOKUP(B7,'Basic Data Entry'!C7:X20,16,0),"")</f>
        <v>71100</v>
      </c>
      <c r="N11" s="116">
        <f>IF(D11="","",YEAR(D11))</f>
        <v>2023</v>
      </c>
      <c r="O11" s="616">
        <f>IF(K11="","",YEAR(K11))</f>
        <v>2024</v>
      </c>
      <c r="P11" s="116"/>
      <c r="Q11" s="617">
        <f>D11</f>
        <v>45017</v>
      </c>
      <c r="R11" s="617"/>
      <c r="S11" s="242"/>
      <c r="T11" s="117">
        <f>IF(U11="","",1)</f>
        <v>1</v>
      </c>
      <c r="U11" s="118">
        <f>Q11</f>
        <v>45017</v>
      </c>
      <c r="V11" s="119">
        <f>ROUND(M11/F11*H11,0)+ROUND(AA11/F11*I11,0)</f>
        <v>71100</v>
      </c>
      <c r="W11" s="120">
        <f t="shared" ref="W11:W19" si="0">IF(OR(T11=0,T11=""),"",IF(J11&gt;=7,ROUND(V11*0.46,0),ROUND(V11*0.42,0)))</f>
        <v>29862</v>
      </c>
      <c r="X11" s="120">
        <v>0</v>
      </c>
      <c r="Y11" s="120">
        <f>IF(OR(T11=0,T11=""),"",ROUND(V11*0.09,0))</f>
        <v>6399</v>
      </c>
      <c r="Z11" s="121">
        <f>IF(OR(T11=0,T11=""),"",SUM(V11:Y11))</f>
        <v>107361</v>
      </c>
      <c r="AA11" s="122">
        <f>IFERROR(VLOOKUP(B7,'Basic Data Entry'!C7:X20,12,0),"")</f>
        <v>69200</v>
      </c>
      <c r="AB11" s="123">
        <f>IF(OR(T11=0,T11=""),"",IF(J11&gt;=7,ROUND(AA11*0.46,0),ROUND(AA11*0.42,0)))</f>
        <v>29064</v>
      </c>
      <c r="AC11" s="123">
        <v>0</v>
      </c>
      <c r="AD11" s="123">
        <f>IF(OR(T11=0,T11=""),"",ROUND(AA11*0.09,0))</f>
        <v>6228</v>
      </c>
      <c r="AE11" s="124">
        <f>IF(OR(T11=0,T11=""),"",SUM(AA11:AD11))</f>
        <v>104492</v>
      </c>
      <c r="AF11" s="122">
        <f>IF(OR(T11="",T11=0),"",V11-AA11)</f>
        <v>1900</v>
      </c>
      <c r="AG11" s="123">
        <f>IF(OR(T11="",T11=0),"",W11-AB11)</f>
        <v>798</v>
      </c>
      <c r="AH11" s="123">
        <f>IF(J11="","",IF(AND(J11&gt;=7,J11&lt;=10),ROUND(V11*0.04,0),0))</f>
        <v>0</v>
      </c>
      <c r="AI11" s="123">
        <f>IF(OR(T11="",T11=0),"",X11-AC11)</f>
        <v>0</v>
      </c>
      <c r="AJ11" s="123">
        <f>IF(OR(T11="",T11=0),"",Y11-AD11)</f>
        <v>171</v>
      </c>
      <c r="AK11" s="125">
        <f>IF(OR(T11="",T11=0),"",SUM(AF11,AG11,AJ11))</f>
        <v>2869</v>
      </c>
      <c r="AL11" s="126">
        <f>IF(OR(T11=0,T11=""),"",IF(AND(J11&gt;=7,J11&lt;=10),IFERROR(VLOOKUP($B$7,'Basic Data Entry'!$C$7:$X$20,21,0)+AH11,""),IFERROR(VLOOKUP($B$7,'Basic Data Entry'!$C$7:$X$20,21,0),"")))</f>
        <v>8000</v>
      </c>
      <c r="AM11" s="123">
        <f>IF(OR(T11=0,T11=""),"",IF(AND(J11&gt;=7,J11&lt;=10),IFERROR(VLOOKUP($B$7,'Basic Data Entry'!$C$7:$X$20,21,0)+ROUND(AA11*0.04,0),""),IFERROR(VLOOKUP($B$7,'Basic Data Entry'!$C$7:$X$20,21,0),"")))</f>
        <v>8000</v>
      </c>
      <c r="AN11" s="125">
        <f>IF(OR(T11=0,T11=""),"",SUM(AL11-AM11))</f>
        <v>0</v>
      </c>
      <c r="AO11" s="127">
        <v>3000</v>
      </c>
      <c r="AP11" s="128">
        <f>IF(OR(T11=0,T11=""),"",AO11)</f>
        <v>3000</v>
      </c>
      <c r="AQ11" s="125">
        <f>IF(OR(T11=0,T11=""),"",SUM(AO11-AP11))</f>
        <v>0</v>
      </c>
      <c r="AR11" s="129">
        <v>875</v>
      </c>
      <c r="AS11" s="128">
        <f>IF(OR(T11=0,T11=""),"",AR11)</f>
        <v>875</v>
      </c>
      <c r="AT11" s="130">
        <f>IF(OR(T11=0,T11=""),"",SUM(AR11-AS11))</f>
        <v>0</v>
      </c>
      <c r="AU11" s="131">
        <f>IF(OR(T11=0,T11=""),"",ROUND(AK11*0.1,0))</f>
        <v>287</v>
      </c>
      <c r="AV11" s="132">
        <f>IF(OR(T11=0,T11=""),"",SUM(AN11,AQ11,AT11,AU11))</f>
        <v>287</v>
      </c>
      <c r="AW11" s="133">
        <f>IF(OR(T11=0,T11=""),"",SUM(AK11-AV11))</f>
        <v>2582</v>
      </c>
      <c r="AX11" s="134"/>
      <c r="AY11" s="96"/>
    </row>
    <row r="12" spans="1:51" ht="26.25" customHeight="1">
      <c r="A12" s="242"/>
      <c r="B12" s="563"/>
      <c r="C12" s="242"/>
      <c r="D12" s="97"/>
      <c r="E12" s="97"/>
      <c r="F12" s="97"/>
      <c r="G12" s="97"/>
      <c r="H12" s="97"/>
      <c r="I12" s="97"/>
      <c r="J12" s="115">
        <f>IF(U12="","",MONTH(U12))</f>
        <v>5</v>
      </c>
      <c r="K12" s="115"/>
      <c r="L12" s="97"/>
      <c r="M12" s="97">
        <f>IF(U12="","",IF(J12=7,ROUND(M11*1.03,-2),IF(J11&lt;U12,M11,"")))</f>
        <v>71100</v>
      </c>
      <c r="N12" s="97"/>
      <c r="O12" s="616"/>
      <c r="P12" s="116">
        <f>IF($N$11&lt;$O$11,1,"")</f>
        <v>1</v>
      </c>
      <c r="Q12" s="618">
        <f>IF(OR(P12=1,$J11&lt;$L$11),Q11+31,"")</f>
        <v>45048</v>
      </c>
      <c r="R12" s="618"/>
      <c r="S12" s="242"/>
      <c r="T12" s="135">
        <f>IF(U12="","",T11+1)</f>
        <v>2</v>
      </c>
      <c r="U12" s="136">
        <f>Q12</f>
        <v>45048</v>
      </c>
      <c r="V12" s="137">
        <f>IF(T12="","",M12)</f>
        <v>71100</v>
      </c>
      <c r="W12" s="138">
        <f t="shared" si="0"/>
        <v>29862</v>
      </c>
      <c r="X12" s="138">
        <f>X11</f>
        <v>0</v>
      </c>
      <c r="Y12" s="138">
        <f t="array" ref="Y12">IF(OR(U12=0,U12=""),"",ROUND(V12*0.09,0))</f>
        <v>6399</v>
      </c>
      <c r="Z12" s="139">
        <f t="array" ref="Z12">IF(OR(U12=0,U12=""),"",SUM(V12:Y12))</f>
        <v>107361</v>
      </c>
      <c r="AA12" s="140">
        <f>IF(U12="","",IF(J12=7,ROUND(AA11*1.03,-2),IF(J11&lt;U12,AA11,"")))</f>
        <v>69200</v>
      </c>
      <c r="AB12" s="141">
        <f t="shared" ref="AB12:AB19" si="1">IF(OR(T12=0,T12=""),"",IF(J12&gt;=7,ROUND(AA12*0.46,0),ROUND(AA12*0.42,0)))</f>
        <v>29064</v>
      </c>
      <c r="AC12" s="142">
        <v>0</v>
      </c>
      <c r="AD12" s="141">
        <f t="shared" ref="AD12:AD19" si="2">IF(OR(T12=0,T12=""),"",ROUND(AA12*0.09,0))</f>
        <v>6228</v>
      </c>
      <c r="AE12" s="143">
        <f t="shared" ref="AE12:AE19" si="3">IF(OR(T12=0,T12=""),"",SUM(AA12:AD12))</f>
        <v>104492</v>
      </c>
      <c r="AF12" s="144">
        <f t="shared" ref="AF12:AF19" si="4">IF(OR(T12="",T12=0),"",V12-AA12)</f>
        <v>1900</v>
      </c>
      <c r="AG12" s="141">
        <f t="shared" ref="AG12:AG19" si="5">IF(OR(T12="",T12=0),"",W12-AB12)</f>
        <v>798</v>
      </c>
      <c r="AH12" s="141">
        <f t="shared" ref="AH12:AH19" si="6">IF(J12="","",IF(AND(J12&gt;=7,J12&lt;=10),ROUND(V12*0.04,0),0))</f>
        <v>0</v>
      </c>
      <c r="AI12" s="141">
        <f t="shared" ref="AI12:AI20" si="7">IF(OR(T12="",T12=0),"",X12-AC12)</f>
        <v>0</v>
      </c>
      <c r="AJ12" s="141">
        <f t="shared" ref="AJ12:AJ19" si="8">IF(OR(T12="",T12=0),"",Y12-AD12)</f>
        <v>171</v>
      </c>
      <c r="AK12" s="145">
        <f>IF(OR(T12="",T12=0),"",SUM(AF12,AG12,AJ12))</f>
        <v>2869</v>
      </c>
      <c r="AL12" s="146">
        <f>IF(OR(T12=0,T12=""),"",IF(AND(J12&gt;=7,J12&lt;=10),IFERROR(VLOOKUP($B$7,'Basic Data Entry'!$C$7:$X$20,21,0)+AH12,""),IFERROR(VLOOKUP($B$7,'Basic Data Entry'!$C$7:$X$20,21,0),"")))</f>
        <v>8000</v>
      </c>
      <c r="AM12" s="147">
        <f>IF(OR(T12=0,T12=""),"",IF(AND(J12&gt;=7,J12&lt;=10),IFERROR(VLOOKUP($B$7,'Basic Data Entry'!$C$7:$X$20,21,0)+ROUND(AA12*0.04,0),""),IFERROR(VLOOKUP($B$7,'Basic Data Entry'!$C$7:$X$20,21,0),"")))</f>
        <v>8000</v>
      </c>
      <c r="AN12" s="148">
        <f>IF(OR(T12=0,T12=""),"",SUM(AL12-AM12))</f>
        <v>0</v>
      </c>
      <c r="AO12" s="147">
        <f>IF(OR(T12=0,T12=""),"",AO11)</f>
        <v>3000</v>
      </c>
      <c r="AP12" s="141">
        <f>IF(OR(T12=0,T12=""),"",AP11)</f>
        <v>3000</v>
      </c>
      <c r="AQ12" s="148">
        <f t="array" ref="AQ12">IF(OR(U12=0,U12=""),"",SUM(AO12-AP12))</f>
        <v>0</v>
      </c>
      <c r="AR12" s="147">
        <f>IF(OR(T12=0,T12=""),"",AR11)</f>
        <v>875</v>
      </c>
      <c r="AS12" s="141">
        <f>IF(OR(T12=0,T12=""),"",AS11)</f>
        <v>875</v>
      </c>
      <c r="AT12" s="148">
        <f>IF(OR(T12=0,T12=""),"",SUM(AR12-AS12))</f>
        <v>0</v>
      </c>
      <c r="AU12" s="149">
        <f t="shared" ref="AU12:AU20" si="9">IF(OR(T12=0,T12=""),"",ROUND(AK12*0.1,0))</f>
        <v>287</v>
      </c>
      <c r="AV12" s="150">
        <f>IF(OR(T12=0,T12=""),"",SUM(AN12,AQ12,AT12,AU12))</f>
        <v>287</v>
      </c>
      <c r="AW12" s="151">
        <f>IF(OR(T12=0,T12=""),"",SUM(AK12-AV12))</f>
        <v>2582</v>
      </c>
      <c r="AX12" s="152"/>
      <c r="AY12" s="96"/>
    </row>
    <row r="13" spans="1:51" ht="26.25" customHeight="1">
      <c r="A13" s="242"/>
      <c r="B13" s="563"/>
      <c r="C13" s="242"/>
      <c r="D13" s="97"/>
      <c r="E13" s="97"/>
      <c r="F13" s="97"/>
      <c r="G13" s="97"/>
      <c r="H13" s="97"/>
      <c r="I13" s="97"/>
      <c r="J13" s="115">
        <f>IF(U13="","",MONTH(U13))</f>
        <v>6</v>
      </c>
      <c r="K13" s="97"/>
      <c r="L13" s="97"/>
      <c r="M13" s="97">
        <f t="shared" ref="M13:M20" si="10">IF(U13="","",IF(J13=7,ROUND(M12*1.03,-2),IF(J12&lt;U13,M12,"")))</f>
        <v>71100</v>
      </c>
      <c r="N13" s="97"/>
      <c r="O13" s="616"/>
      <c r="P13" s="116">
        <f t="shared" ref="P13:P20" si="11">IF($N$11&lt;$O$11,1,"")</f>
        <v>1</v>
      </c>
      <c r="Q13" s="618">
        <f t="shared" ref="Q13:Q20" si="12">IF(OR(P13=1,$J12&lt;$L$11),Q12+31,"")</f>
        <v>45079</v>
      </c>
      <c r="R13" s="618"/>
      <c r="S13" s="242"/>
      <c r="T13" s="135">
        <f t="shared" ref="T13:T19" si="13">IF(U13="","",T12+1)</f>
        <v>3</v>
      </c>
      <c r="U13" s="136">
        <f>Q13</f>
        <v>45079</v>
      </c>
      <c r="V13" s="137">
        <f t="shared" ref="V13:V19" si="14">IF(T13="","",M13)</f>
        <v>71100</v>
      </c>
      <c r="W13" s="138">
        <f t="shared" si="0"/>
        <v>29862</v>
      </c>
      <c r="X13" s="138">
        <f t="shared" ref="X13:X20" si="15">X12</f>
        <v>0</v>
      </c>
      <c r="Y13" s="138">
        <f t="array" ref="Y13">IF(OR(U13=0,U13=""),"",ROUND(V13*0.09,0))</f>
        <v>6399</v>
      </c>
      <c r="Z13" s="139">
        <f t="array" ref="Z13">IF(OR(U13=0,U13=""),"",SUM(V13:Y13))</f>
        <v>107361</v>
      </c>
      <c r="AA13" s="140">
        <f t="shared" ref="AA13:AA19" si="16">IF(U13="","",IF(J13=7,ROUND(AA12*1.03,-2),IF(J12&lt;U13,AA12,"")))</f>
        <v>69200</v>
      </c>
      <c r="AB13" s="153">
        <f t="shared" si="1"/>
        <v>29064</v>
      </c>
      <c r="AC13" s="138">
        <v>0</v>
      </c>
      <c r="AD13" s="153">
        <f t="shared" si="2"/>
        <v>6228</v>
      </c>
      <c r="AE13" s="139">
        <f t="shared" si="3"/>
        <v>104492</v>
      </c>
      <c r="AF13" s="154">
        <f t="shared" si="4"/>
        <v>1900</v>
      </c>
      <c r="AG13" s="153">
        <f t="shared" si="5"/>
        <v>798</v>
      </c>
      <c r="AH13" s="153">
        <f t="shared" si="6"/>
        <v>0</v>
      </c>
      <c r="AI13" s="153">
        <f t="shared" si="7"/>
        <v>0</v>
      </c>
      <c r="AJ13" s="153">
        <f t="shared" si="8"/>
        <v>171</v>
      </c>
      <c r="AK13" s="155">
        <f>IF(OR(T13="",T13=0),"",SUM(AF13,AG13,AJ13))</f>
        <v>2869</v>
      </c>
      <c r="AL13" s="156">
        <f>IF(OR(T13=0,T13=""),"",IF(AND(J13&gt;=7,J13&lt;=10),IFERROR(VLOOKUP($B$7,'Basic Data Entry'!$C$7:$X$20,21,0)+AH13,""),IFERROR(VLOOKUP($B$7,'Basic Data Entry'!$C$7:$X$20,21,0),"")))</f>
        <v>8000</v>
      </c>
      <c r="AM13" s="157">
        <f>IF(OR(T13=0,T13=""),"",IF(AND(J13&gt;=7,J13&lt;=10),IFERROR(VLOOKUP($B$7,'Basic Data Entry'!$C$7:$X$20,21,0)+ROUND(AA13*0.04,0),""),IFERROR(VLOOKUP($B$7,'Basic Data Entry'!$C$7:$X$20,21,0),"")))</f>
        <v>8000</v>
      </c>
      <c r="AN13" s="158">
        <f>IF(OR(T13=0,T13=""),"",SUM(AL13-AM13))</f>
        <v>0</v>
      </c>
      <c r="AO13" s="157">
        <f>IF(OR(T13=0,T13=""),"",AO12)</f>
        <v>3000</v>
      </c>
      <c r="AP13" s="153">
        <f>IF(OR(T13=0,T13=""),"",AP12)</f>
        <v>3000</v>
      </c>
      <c r="AQ13" s="158">
        <f t="array" ref="AQ13">IF(OR(U13=0,U13=""),"",SUM(AO13-AP13))</f>
        <v>0</v>
      </c>
      <c r="AR13" s="154">
        <f>IF(OR(T13=0,T13=""),"",AR12)</f>
        <v>875</v>
      </c>
      <c r="AS13" s="153">
        <f>IF(OR(T13=0,T13=""),"",AS12)</f>
        <v>875</v>
      </c>
      <c r="AT13" s="159">
        <f>IF(OR(T13=0,T13=""),"",SUM(AR13-AS13))</f>
        <v>0</v>
      </c>
      <c r="AU13" s="160">
        <f t="shared" si="9"/>
        <v>287</v>
      </c>
      <c r="AV13" s="161">
        <f>IF(OR(T13=0,T13=""),"",SUM(AN13,AQ13,AT13,AU13))</f>
        <v>287</v>
      </c>
      <c r="AW13" s="162">
        <f>IF(OR(T13=0,T13=""),"",SUM(AK13-AV13))</f>
        <v>2582</v>
      </c>
      <c r="AX13" s="152"/>
      <c r="AY13" s="96"/>
    </row>
    <row r="14" spans="1:51" ht="26.25" customHeight="1">
      <c r="A14" s="242"/>
      <c r="B14" s="563"/>
      <c r="C14" s="242"/>
      <c r="D14" s="97"/>
      <c r="E14" s="97"/>
      <c r="F14" s="97"/>
      <c r="G14" s="97"/>
      <c r="H14" s="97"/>
      <c r="I14" s="97"/>
      <c r="J14" s="115">
        <f>IF(U14="","",MONTH(U14))</f>
        <v>7</v>
      </c>
      <c r="K14" s="97"/>
      <c r="L14" s="97"/>
      <c r="M14" s="97">
        <f t="shared" si="10"/>
        <v>73200</v>
      </c>
      <c r="N14" s="97"/>
      <c r="O14" s="616"/>
      <c r="P14" s="116">
        <f t="shared" si="11"/>
        <v>1</v>
      </c>
      <c r="Q14" s="618">
        <f t="shared" si="12"/>
        <v>45110</v>
      </c>
      <c r="R14" s="618"/>
      <c r="S14" s="242"/>
      <c r="T14" s="163">
        <f t="shared" si="13"/>
        <v>4</v>
      </c>
      <c r="U14" s="136">
        <f t="shared" ref="U14:U20" si="17">Q14</f>
        <v>45110</v>
      </c>
      <c r="V14" s="137">
        <f t="shared" si="14"/>
        <v>73200</v>
      </c>
      <c r="W14" s="138">
        <f t="shared" si="0"/>
        <v>33672</v>
      </c>
      <c r="X14" s="138">
        <f t="shared" si="15"/>
        <v>0</v>
      </c>
      <c r="Y14" s="138">
        <f t="array" ref="Y14">IF(OR(U14=0,U14=""),"",ROUND(V14*0.09,0))</f>
        <v>6588</v>
      </c>
      <c r="Z14" s="139">
        <f t="array" ref="Z14">IF(OR(U14=0,U14=""),"",SUM(V14:Y14))</f>
        <v>113460</v>
      </c>
      <c r="AA14" s="140">
        <f t="shared" si="16"/>
        <v>71300</v>
      </c>
      <c r="AB14" s="153">
        <f t="shared" si="1"/>
        <v>32798</v>
      </c>
      <c r="AC14" s="138">
        <v>0</v>
      </c>
      <c r="AD14" s="153">
        <f t="shared" si="2"/>
        <v>6417</v>
      </c>
      <c r="AE14" s="139">
        <f t="shared" si="3"/>
        <v>110515</v>
      </c>
      <c r="AF14" s="154">
        <f t="shared" si="4"/>
        <v>1900</v>
      </c>
      <c r="AG14" s="153">
        <f t="shared" si="5"/>
        <v>874</v>
      </c>
      <c r="AH14" s="153">
        <f t="shared" si="6"/>
        <v>2928</v>
      </c>
      <c r="AI14" s="153">
        <f t="shared" si="7"/>
        <v>0</v>
      </c>
      <c r="AJ14" s="153">
        <f t="shared" si="8"/>
        <v>171</v>
      </c>
      <c r="AK14" s="155">
        <f>IF(OR(T14="",T14=0),"",SUM(AF14,AG14,AJ14))</f>
        <v>2945</v>
      </c>
      <c r="AL14" s="156">
        <f>IF(OR(T14=0,T14=""),"",IF(AND(J14&gt;=7,J14&lt;=10),IFERROR(VLOOKUP($B$7,'Basic Data Entry'!$C$7:$X$20,21,0)+AH14,""),IFERROR(VLOOKUP($B$7,'Basic Data Entry'!$C$7:$X$20,21,0),"")))</f>
        <v>10928</v>
      </c>
      <c r="AM14" s="157">
        <f>IF(OR(T14=0,T14=""),"",IF(AND(J14&gt;=7,J14&lt;=10),IFERROR(VLOOKUP($B$7,'Basic Data Entry'!$C$7:$X$20,21,0)+ROUND(AA14*0.04,0),""),IFERROR(VLOOKUP($B$7,'Basic Data Entry'!$C$7:$X$20,21,0),"")))</f>
        <v>10852</v>
      </c>
      <c r="AN14" s="158">
        <f>IF(OR(T14=0,T14=""),"",SUM(AL14-AM14))</f>
        <v>76</v>
      </c>
      <c r="AO14" s="157">
        <f>IF(OR(T14=0,T14=""),"",AO13)</f>
        <v>3000</v>
      </c>
      <c r="AP14" s="153">
        <f>IF(OR(T14=0,T14=""),"",AP13)</f>
        <v>3000</v>
      </c>
      <c r="AQ14" s="158">
        <f t="array" ref="AQ14">IF(OR(U14=0,U14=""),"",SUM(AO14-AP14))</f>
        <v>0</v>
      </c>
      <c r="AR14" s="154">
        <f>IF(OR(T14=0,T14=""),"",AR13)</f>
        <v>875</v>
      </c>
      <c r="AS14" s="153">
        <f>IF(OR(T14=0,T14=""),"",AS13)</f>
        <v>875</v>
      </c>
      <c r="AT14" s="159">
        <f>IF(OR(T14=0,T14=""),"",SUM(AR14-AS14))</f>
        <v>0</v>
      </c>
      <c r="AU14" s="160">
        <f t="shared" si="9"/>
        <v>295</v>
      </c>
      <c r="AV14" s="161">
        <f>IF(OR(T14=0,T14=""),"",SUM(AN14,AQ14,AT14,AU14))</f>
        <v>371</v>
      </c>
      <c r="AW14" s="162">
        <f>IF(OR(T14=0,T14=""),"",SUM(AK14-AV14))</f>
        <v>2574</v>
      </c>
      <c r="AX14" s="152"/>
      <c r="AY14" s="96"/>
    </row>
    <row r="15" spans="1:51" ht="26.25" customHeight="1">
      <c r="A15" s="242"/>
      <c r="B15" s="563"/>
      <c r="C15" s="242"/>
      <c r="D15" s="97"/>
      <c r="E15" s="97"/>
      <c r="F15" s="97"/>
      <c r="G15" s="97"/>
      <c r="H15" s="97"/>
      <c r="I15" s="97"/>
      <c r="J15" s="115">
        <f>IF(U15="","",MONTH(U15))</f>
        <v>8</v>
      </c>
      <c r="K15" s="97"/>
      <c r="L15" s="97"/>
      <c r="M15" s="97">
        <f t="shared" si="10"/>
        <v>73200</v>
      </c>
      <c r="N15" s="97"/>
      <c r="O15" s="616"/>
      <c r="P15" s="116">
        <f t="shared" si="11"/>
        <v>1</v>
      </c>
      <c r="Q15" s="618">
        <f t="shared" si="12"/>
        <v>45141</v>
      </c>
      <c r="R15" s="618"/>
      <c r="S15" s="242"/>
      <c r="T15" s="164">
        <f t="shared" si="13"/>
        <v>5</v>
      </c>
      <c r="U15" s="136">
        <f t="shared" si="17"/>
        <v>45141</v>
      </c>
      <c r="V15" s="137">
        <f t="shared" si="14"/>
        <v>73200</v>
      </c>
      <c r="W15" s="138">
        <f t="shared" si="0"/>
        <v>33672</v>
      </c>
      <c r="X15" s="138">
        <f t="shared" si="15"/>
        <v>0</v>
      </c>
      <c r="Y15" s="138">
        <f t="array" ref="Y15">IF(OR(U15=0,U15=""),"",ROUND(V15*0.09,0))</f>
        <v>6588</v>
      </c>
      <c r="Z15" s="139">
        <f t="array" ref="Z15">IF(OR(U15=0,U15=""),"",SUM(V15:Y15))</f>
        <v>113460</v>
      </c>
      <c r="AA15" s="140">
        <f t="shared" si="16"/>
        <v>71300</v>
      </c>
      <c r="AB15" s="153">
        <f t="shared" si="1"/>
        <v>32798</v>
      </c>
      <c r="AC15" s="138">
        <v>0</v>
      </c>
      <c r="AD15" s="153">
        <f t="shared" si="2"/>
        <v>6417</v>
      </c>
      <c r="AE15" s="139">
        <f t="shared" si="3"/>
        <v>110515</v>
      </c>
      <c r="AF15" s="154">
        <f t="shared" si="4"/>
        <v>1900</v>
      </c>
      <c r="AG15" s="153">
        <f t="shared" si="5"/>
        <v>874</v>
      </c>
      <c r="AH15" s="153">
        <f t="shared" si="6"/>
        <v>2928</v>
      </c>
      <c r="AI15" s="153">
        <f t="shared" si="7"/>
        <v>0</v>
      </c>
      <c r="AJ15" s="153">
        <f t="shared" si="8"/>
        <v>171</v>
      </c>
      <c r="AK15" s="155">
        <f>IF(OR(T15="",T15=0),"",SUM(AF15,AG15,AJ15))</f>
        <v>2945</v>
      </c>
      <c r="AL15" s="156">
        <f>IF(OR(T15=0,T15=""),"",IF(AND(J15&gt;=7,J15&lt;=10),IFERROR(VLOOKUP($B$7,'Basic Data Entry'!$C$7:$X$20,21,0)+AH15,""),IFERROR(VLOOKUP($B$7,'Basic Data Entry'!$C$7:$X$20,21,0),"")))</f>
        <v>10928</v>
      </c>
      <c r="AM15" s="157">
        <f>IF(OR(T15=0,T15=""),"",IF(AND(J15&gt;=7,J15&lt;=10),IFERROR(VLOOKUP($B$7,'Basic Data Entry'!$C$7:$X$20,21,0)+ROUND(AA15*0.04,0),""),IFERROR(VLOOKUP($B$7,'Basic Data Entry'!$C$7:$X$20,21,0),"")))</f>
        <v>10852</v>
      </c>
      <c r="AN15" s="158">
        <f>IF(OR(T15=0,T15=""),"",SUM(AL15-AM15))</f>
        <v>76</v>
      </c>
      <c r="AO15" s="157">
        <f>IF(OR(T15=0,T15=""),"",AO14)</f>
        <v>3000</v>
      </c>
      <c r="AP15" s="153">
        <f>IF(OR(T15=0,T15=""),"",AP14)</f>
        <v>3000</v>
      </c>
      <c r="AQ15" s="158">
        <f t="array" ref="AQ15">IF(OR(U15=0,U15=""),"",SUM(AO15-AP15))</f>
        <v>0</v>
      </c>
      <c r="AR15" s="154">
        <f>IF(OR(T15=0,T15=""),"",AR14)</f>
        <v>875</v>
      </c>
      <c r="AS15" s="153">
        <f>IF(OR(T15=0,T15=""),"",AS14)</f>
        <v>875</v>
      </c>
      <c r="AT15" s="159">
        <f>IF(OR(T15=0,T15=""),"",SUM(AR15-AS15))</f>
        <v>0</v>
      </c>
      <c r="AU15" s="160">
        <f t="shared" si="9"/>
        <v>295</v>
      </c>
      <c r="AV15" s="161">
        <f>IF(OR(T15=0,T15=""),"",SUM(AN15,AQ15,AT15,AU15))</f>
        <v>371</v>
      </c>
      <c r="AW15" s="162">
        <f>IF(OR(T15=0,T15=""),"",SUM(AK15-AV15))</f>
        <v>2574</v>
      </c>
      <c r="AX15" s="152"/>
      <c r="AY15" s="96"/>
    </row>
    <row r="16" spans="1:51" ht="26.25" customHeight="1">
      <c r="A16" s="242"/>
      <c r="B16" s="563"/>
      <c r="C16" s="242"/>
      <c r="D16" s="97"/>
      <c r="E16" s="97"/>
      <c r="F16" s="97"/>
      <c r="G16" s="97"/>
      <c r="H16" s="97"/>
      <c r="I16" s="97"/>
      <c r="J16" s="115">
        <f>IF(U16="","",MONTH(U16))</f>
        <v>9</v>
      </c>
      <c r="K16" s="97"/>
      <c r="L16" s="97"/>
      <c r="M16" s="97">
        <f t="shared" si="10"/>
        <v>73200</v>
      </c>
      <c r="N16" s="97"/>
      <c r="O16" s="616"/>
      <c r="P16" s="116">
        <f t="shared" si="11"/>
        <v>1</v>
      </c>
      <c r="Q16" s="618">
        <f t="shared" si="12"/>
        <v>45172</v>
      </c>
      <c r="R16" s="618"/>
      <c r="S16" s="242"/>
      <c r="T16" s="135">
        <f t="shared" si="13"/>
        <v>6</v>
      </c>
      <c r="U16" s="136">
        <f t="shared" si="17"/>
        <v>45172</v>
      </c>
      <c r="V16" s="137">
        <f t="shared" si="14"/>
        <v>73200</v>
      </c>
      <c r="W16" s="138">
        <f t="shared" si="0"/>
        <v>33672</v>
      </c>
      <c r="X16" s="138">
        <f t="shared" si="15"/>
        <v>0</v>
      </c>
      <c r="Y16" s="138">
        <f t="array" ref="Y16">IF(OR(U16=0,U16=""),"",ROUND(V16*0.09,0))</f>
        <v>6588</v>
      </c>
      <c r="Z16" s="139">
        <f t="array" ref="Z16">IF(OR(U16=0,U16=""),"",SUM(V16:Y16))</f>
        <v>113460</v>
      </c>
      <c r="AA16" s="140">
        <f t="shared" si="16"/>
        <v>71300</v>
      </c>
      <c r="AB16" s="153">
        <f t="shared" si="1"/>
        <v>32798</v>
      </c>
      <c r="AC16" s="138">
        <v>0</v>
      </c>
      <c r="AD16" s="153">
        <f t="shared" si="2"/>
        <v>6417</v>
      </c>
      <c r="AE16" s="139">
        <f t="shared" si="3"/>
        <v>110515</v>
      </c>
      <c r="AF16" s="154">
        <f t="shared" si="4"/>
        <v>1900</v>
      </c>
      <c r="AG16" s="153">
        <f t="shared" si="5"/>
        <v>874</v>
      </c>
      <c r="AH16" s="153">
        <f t="shared" si="6"/>
        <v>2928</v>
      </c>
      <c r="AI16" s="153">
        <f t="shared" si="7"/>
        <v>0</v>
      </c>
      <c r="AJ16" s="153">
        <f t="shared" si="8"/>
        <v>171</v>
      </c>
      <c r="AK16" s="155">
        <f>IF(OR(T16="",T16=0),"",SUM(AF16,AG16,AJ16))</f>
        <v>2945</v>
      </c>
      <c r="AL16" s="156">
        <f>IF(OR(T16=0,T16=""),"",IF(AND(J16&gt;=7,J16&lt;=10),IFERROR(VLOOKUP($B$7,'Basic Data Entry'!$C$7:$X$20,21,0)+AH16,""),IFERROR(VLOOKUP($B$7,'Basic Data Entry'!$C$7:$X$20,21,0),"")))</f>
        <v>10928</v>
      </c>
      <c r="AM16" s="157">
        <f>IF(OR(T16=0,T16=""),"",IF(AND(J16&gt;=7,J16&lt;=10),IFERROR(VLOOKUP($B$7,'Basic Data Entry'!$C$7:$X$20,21,0)+ROUND(AA16*0.04,0),""),IFERROR(VLOOKUP($B$7,'Basic Data Entry'!$C$7:$X$20,21,0),"")))</f>
        <v>10852</v>
      </c>
      <c r="AN16" s="158">
        <f>IF(OR(T16=0,T16=""),"",SUM(AL16-AM16))</f>
        <v>76</v>
      </c>
      <c r="AO16" s="157">
        <f>IF(OR(T16=0,T16=""),"",AO15)</f>
        <v>3000</v>
      </c>
      <c r="AP16" s="153">
        <f>IF(OR(T16=0,T16=""),"",AP15)</f>
        <v>3000</v>
      </c>
      <c r="AQ16" s="158">
        <f t="array" ref="AQ16">IF(OR(U16=0,U16=""),"",SUM(AO16-AP16))</f>
        <v>0</v>
      </c>
      <c r="AR16" s="154">
        <f>IF(OR(T16=0,T16=""),"",AR15)</f>
        <v>875</v>
      </c>
      <c r="AS16" s="153">
        <f>IF(OR(T16=0,T16=""),"",AS15)</f>
        <v>875</v>
      </c>
      <c r="AT16" s="159">
        <f>IF(OR(T16=0,T16=""),"",SUM(AR16-AS16))</f>
        <v>0</v>
      </c>
      <c r="AU16" s="160">
        <f t="shared" si="9"/>
        <v>295</v>
      </c>
      <c r="AV16" s="161">
        <f>IF(OR(T16=0,T16=""),"",SUM(AN16,AQ16,AT16,AU16))</f>
        <v>371</v>
      </c>
      <c r="AW16" s="162">
        <f>IF(OR(T16=0,T16=""),"",SUM(AK16-AV16))</f>
        <v>2574</v>
      </c>
      <c r="AX16" s="152"/>
      <c r="AY16" s="96"/>
    </row>
    <row r="17" spans="1:51" ht="26.25" customHeight="1">
      <c r="A17" s="242"/>
      <c r="B17" s="563"/>
      <c r="C17" s="242"/>
      <c r="D17" s="97"/>
      <c r="E17" s="97"/>
      <c r="F17" s="97"/>
      <c r="G17" s="97"/>
      <c r="H17" s="97"/>
      <c r="I17" s="97"/>
      <c r="J17" s="115">
        <f>IF(U17="","",MONTH(U17))</f>
        <v>10</v>
      </c>
      <c r="K17" s="97"/>
      <c r="L17" s="97"/>
      <c r="M17" s="97">
        <f t="shared" si="10"/>
        <v>73200</v>
      </c>
      <c r="N17" s="97"/>
      <c r="O17" s="616"/>
      <c r="P17" s="116">
        <f t="shared" si="11"/>
        <v>1</v>
      </c>
      <c r="Q17" s="618">
        <f t="shared" si="12"/>
        <v>45203</v>
      </c>
      <c r="R17" s="618"/>
      <c r="S17" s="242"/>
      <c r="T17" s="135">
        <f t="shared" si="13"/>
        <v>7</v>
      </c>
      <c r="U17" s="136">
        <f t="shared" si="17"/>
        <v>45203</v>
      </c>
      <c r="V17" s="137">
        <f t="shared" si="14"/>
        <v>73200</v>
      </c>
      <c r="W17" s="138">
        <f t="shared" si="0"/>
        <v>33672</v>
      </c>
      <c r="X17" s="138">
        <f t="shared" si="15"/>
        <v>0</v>
      </c>
      <c r="Y17" s="138">
        <f t="array" ref="Y17">IF(OR(U17=0,U17=""),"",ROUND(V17*0.09,0))</f>
        <v>6588</v>
      </c>
      <c r="Z17" s="139">
        <f t="array" ref="Z17">IF(OR(U17=0,U17=""),"",SUM(V17:Y17))</f>
        <v>113460</v>
      </c>
      <c r="AA17" s="140">
        <f t="shared" si="16"/>
        <v>71300</v>
      </c>
      <c r="AB17" s="153">
        <f t="shared" si="1"/>
        <v>32798</v>
      </c>
      <c r="AC17" s="138">
        <v>0</v>
      </c>
      <c r="AD17" s="153">
        <f t="shared" si="2"/>
        <v>6417</v>
      </c>
      <c r="AE17" s="139">
        <f t="shared" si="3"/>
        <v>110515</v>
      </c>
      <c r="AF17" s="154">
        <f t="shared" si="4"/>
        <v>1900</v>
      </c>
      <c r="AG17" s="153">
        <f t="shared" si="5"/>
        <v>874</v>
      </c>
      <c r="AH17" s="153">
        <f t="shared" si="6"/>
        <v>2928</v>
      </c>
      <c r="AI17" s="153">
        <f t="shared" si="7"/>
        <v>0</v>
      </c>
      <c r="AJ17" s="153">
        <f t="shared" si="8"/>
        <v>171</v>
      </c>
      <c r="AK17" s="155">
        <f>IF(OR(T17="",T17=0),"",SUM(AF17,AG17,AJ17))</f>
        <v>2945</v>
      </c>
      <c r="AL17" s="156">
        <f>IF(OR(T17=0,T17=""),"",IF(AND(J17&gt;=7,J17&lt;=10),IFERROR(VLOOKUP($B$7,'Basic Data Entry'!$C$7:$X$20,21,0)+AH17,""),IFERROR(VLOOKUP($B$7,'Basic Data Entry'!$C$7:$X$20,21,0),"")))</f>
        <v>10928</v>
      </c>
      <c r="AM17" s="157">
        <f>IF(OR(T17=0,T17=""),"",IF(AND(J17&gt;=7,J17&lt;=10),IFERROR(VLOOKUP($B$7,'Basic Data Entry'!$C$7:$X$20,21,0)+ROUND(AA17*0.04,0),""),IFERROR(VLOOKUP($B$7,'Basic Data Entry'!$C$7:$X$20,21,0),"")))</f>
        <v>10852</v>
      </c>
      <c r="AN17" s="158">
        <f>IF(OR(T17=0,T17=""),"",SUM(AL17-AM17))</f>
        <v>76</v>
      </c>
      <c r="AO17" s="157">
        <f>IF(OR(T17=0,T17=""),"",AO16)</f>
        <v>3000</v>
      </c>
      <c r="AP17" s="153">
        <f>IF(OR(T17=0,T17=""),"",AP16)</f>
        <v>3000</v>
      </c>
      <c r="AQ17" s="158">
        <f t="array" ref="AQ17">IF(OR(U17=0,U17=""),"",SUM(AO17-AP17))</f>
        <v>0</v>
      </c>
      <c r="AR17" s="154">
        <f>IF(OR(T17=0,T17=""),"",AR16)</f>
        <v>875</v>
      </c>
      <c r="AS17" s="153">
        <f>IF(OR(T17=0,T17=""),"",AS16)</f>
        <v>875</v>
      </c>
      <c r="AT17" s="159">
        <f>IF(OR(T17=0,T17=""),"",SUM(AR17-AS17))</f>
        <v>0</v>
      </c>
      <c r="AU17" s="160">
        <f t="shared" si="9"/>
        <v>295</v>
      </c>
      <c r="AV17" s="161">
        <f>IF(OR(T17=0,T17=""),"",SUM(AN17,AQ17,AT17,AU17))</f>
        <v>371</v>
      </c>
      <c r="AW17" s="162">
        <f>IF(OR(T17=0,T17=""),"",SUM(AK17-AV17))</f>
        <v>2574</v>
      </c>
      <c r="AX17" s="152"/>
      <c r="AY17" s="96"/>
    </row>
    <row r="18" spans="1:51" ht="26.25" customHeight="1">
      <c r="A18" s="242"/>
      <c r="B18" s="563"/>
      <c r="C18" s="242"/>
      <c r="D18" s="97"/>
      <c r="E18" s="97"/>
      <c r="F18" s="97"/>
      <c r="G18" s="97"/>
      <c r="H18" s="97"/>
      <c r="I18" s="97"/>
      <c r="J18" s="115">
        <f>IF(U18="","",MONTH(U18))</f>
        <v>11</v>
      </c>
      <c r="K18" s="97"/>
      <c r="L18" s="97"/>
      <c r="M18" s="97">
        <f t="shared" si="10"/>
        <v>73200</v>
      </c>
      <c r="N18" s="97"/>
      <c r="O18" s="616"/>
      <c r="P18" s="116">
        <f t="shared" si="11"/>
        <v>1</v>
      </c>
      <c r="Q18" s="618">
        <f t="shared" si="12"/>
        <v>45234</v>
      </c>
      <c r="R18" s="618"/>
      <c r="S18" s="242"/>
      <c r="T18" s="135">
        <f t="shared" si="13"/>
        <v>8</v>
      </c>
      <c r="U18" s="136">
        <f t="shared" si="17"/>
        <v>45234</v>
      </c>
      <c r="V18" s="137">
        <f t="shared" si="14"/>
        <v>73200</v>
      </c>
      <c r="W18" s="138">
        <f t="shared" si="0"/>
        <v>33672</v>
      </c>
      <c r="X18" s="138">
        <f t="shared" si="15"/>
        <v>0</v>
      </c>
      <c r="Y18" s="138">
        <f t="array" ref="Y18">IF(OR(U18=0,U18=""),"",ROUND(V18*0.09,0))</f>
        <v>6588</v>
      </c>
      <c r="Z18" s="139">
        <f t="array" ref="Z18">IF(OR(U18=0,U18=""),"",SUM(V18:Y18))</f>
        <v>113460</v>
      </c>
      <c r="AA18" s="140">
        <f t="shared" si="16"/>
        <v>71300</v>
      </c>
      <c r="AB18" s="153">
        <f t="shared" si="1"/>
        <v>32798</v>
      </c>
      <c r="AC18" s="138">
        <v>0</v>
      </c>
      <c r="AD18" s="153">
        <f t="shared" si="2"/>
        <v>6417</v>
      </c>
      <c r="AE18" s="139">
        <f t="shared" si="3"/>
        <v>110515</v>
      </c>
      <c r="AF18" s="154">
        <f t="shared" si="4"/>
        <v>1900</v>
      </c>
      <c r="AG18" s="153">
        <f t="shared" si="5"/>
        <v>874</v>
      </c>
      <c r="AH18" s="153">
        <f t="shared" si="6"/>
        <v>0</v>
      </c>
      <c r="AI18" s="153">
        <f t="shared" si="7"/>
        <v>0</v>
      </c>
      <c r="AJ18" s="153">
        <f t="shared" si="8"/>
        <v>171</v>
      </c>
      <c r="AK18" s="155">
        <f>IF(OR(T18="",T18=0),"",SUM(AF18,AG18,AJ18))</f>
        <v>2945</v>
      </c>
      <c r="AL18" s="156">
        <f>IF(OR(T18=0,T18=""),"",IF(AND(J18&gt;=7,J18&lt;=10),IFERROR(VLOOKUP($B$7,'Basic Data Entry'!$C$7:$X$20,21,0)+AH18,""),IFERROR(VLOOKUP($B$7,'Basic Data Entry'!$C$7:$X$20,21,0),"")))</f>
        <v>8000</v>
      </c>
      <c r="AM18" s="157">
        <f>IF(OR(T18=0,T18=""),"",IF(AND(J18&gt;=7,J18&lt;=10),IFERROR(VLOOKUP($B$7,'Basic Data Entry'!$C$7:$X$20,21,0)+ROUND(AA18*0.04,0),""),IFERROR(VLOOKUP($B$7,'Basic Data Entry'!$C$7:$X$20,21,0),"")))</f>
        <v>8000</v>
      </c>
      <c r="AN18" s="158">
        <f>IF(OR(T18=0,T18=""),"",SUM(AL18-AM18))</f>
        <v>0</v>
      </c>
      <c r="AO18" s="157">
        <f>IF(OR(T18=0,T18=""),"",AO17)</f>
        <v>3000</v>
      </c>
      <c r="AP18" s="153">
        <f>IF(OR(T18=0,T18=""),"",AP17)</f>
        <v>3000</v>
      </c>
      <c r="AQ18" s="158">
        <f t="array" ref="AQ18">IF(OR(U18=0,U18=""),"",SUM(AO18-AP18))</f>
        <v>0</v>
      </c>
      <c r="AR18" s="154">
        <f>IF(OR(T18=0,T18=""),"",AR17)</f>
        <v>875</v>
      </c>
      <c r="AS18" s="153">
        <f>IF(OR(T18=0,T18=""),"",AS17)</f>
        <v>875</v>
      </c>
      <c r="AT18" s="159">
        <f>IF(OR(T18=0,T18=""),"",SUM(AR18-AS18))</f>
        <v>0</v>
      </c>
      <c r="AU18" s="160">
        <f t="shared" si="9"/>
        <v>295</v>
      </c>
      <c r="AV18" s="161">
        <f>IF(OR(T18=0,T18=""),"",SUM(AN18,AQ18,AT18,AU18))</f>
        <v>295</v>
      </c>
      <c r="AW18" s="162">
        <f>IF(OR(T18=0,T18=""),"",SUM(AK18-AV18))</f>
        <v>2650</v>
      </c>
      <c r="AX18" s="152"/>
      <c r="AY18" s="96"/>
    </row>
    <row r="19" spans="1:51" ht="26.25" customHeight="1">
      <c r="A19" s="242"/>
      <c r="B19" s="563"/>
      <c r="C19" s="242"/>
      <c r="D19" s="97"/>
      <c r="E19" s="97"/>
      <c r="F19" s="97"/>
      <c r="G19" s="97"/>
      <c r="H19" s="97"/>
      <c r="I19" s="97"/>
      <c r="J19" s="115">
        <f>IF(U19="","",MONTH(U19))</f>
        <v>12</v>
      </c>
      <c r="K19" s="97"/>
      <c r="L19" s="97"/>
      <c r="M19" s="97">
        <f t="shared" si="10"/>
        <v>73200</v>
      </c>
      <c r="N19" s="97"/>
      <c r="O19" s="616"/>
      <c r="P19" s="116">
        <f t="shared" si="11"/>
        <v>1</v>
      </c>
      <c r="Q19" s="618">
        <f t="shared" si="12"/>
        <v>45265</v>
      </c>
      <c r="R19" s="618"/>
      <c r="S19" s="242"/>
      <c r="T19" s="135">
        <f t="shared" si="13"/>
        <v>9</v>
      </c>
      <c r="U19" s="136">
        <f t="shared" si="17"/>
        <v>45265</v>
      </c>
      <c r="V19" s="157">
        <f t="shared" si="14"/>
        <v>73200</v>
      </c>
      <c r="W19" s="153">
        <f t="shared" si="0"/>
        <v>33672</v>
      </c>
      <c r="X19" s="138">
        <f t="shared" si="15"/>
        <v>0</v>
      </c>
      <c r="Y19" s="153">
        <f t="array" ref="Y19">IF(OR(U19=0,U19=""),"",ROUND(V19*0.09,0))</f>
        <v>6588</v>
      </c>
      <c r="Z19" s="165">
        <f t="array" ref="Z19">IF(OR(U19=0,U19=""),"",SUM(V19:Y19))</f>
        <v>113460</v>
      </c>
      <c r="AA19" s="154">
        <f t="shared" si="16"/>
        <v>71300</v>
      </c>
      <c r="AB19" s="153">
        <f t="shared" si="1"/>
        <v>32798</v>
      </c>
      <c r="AC19" s="138">
        <v>0</v>
      </c>
      <c r="AD19" s="153">
        <f t="shared" si="2"/>
        <v>6417</v>
      </c>
      <c r="AE19" s="165">
        <f t="shared" si="3"/>
        <v>110515</v>
      </c>
      <c r="AF19" s="154">
        <f t="shared" si="4"/>
        <v>1900</v>
      </c>
      <c r="AG19" s="153">
        <f t="shared" si="5"/>
        <v>874</v>
      </c>
      <c r="AH19" s="153">
        <f t="shared" si="6"/>
        <v>0</v>
      </c>
      <c r="AI19" s="153">
        <f t="shared" si="7"/>
        <v>0</v>
      </c>
      <c r="AJ19" s="153">
        <f t="shared" si="8"/>
        <v>171</v>
      </c>
      <c r="AK19" s="155">
        <f>IF(OR(T19="",T19=0),"",SUM(AF19,AG19,AJ19))</f>
        <v>2945</v>
      </c>
      <c r="AL19" s="166">
        <f>IF(OR(T19=0,T19=""),"",IF(AND(J19&gt;=7,J19&lt;=10),IFERROR(VLOOKUP($B$7,'Basic Data Entry'!$C$7:$X$20,21,0)+AH19,""),IFERROR(VLOOKUP($B$7,'Basic Data Entry'!$C$7:$X$20,21,0),"")))</f>
        <v>8000</v>
      </c>
      <c r="AM19" s="157">
        <f>IF(OR(T19=0,T19=""),"",IF(AND(J19&gt;=7,J19&lt;=10),IFERROR(VLOOKUP($B$7,'Basic Data Entry'!$C$7:$X$20,21,0)+ROUND(AA19*0.04,0),""),IFERROR(VLOOKUP($B$7,'Basic Data Entry'!$C$7:$X$20,21,0),"")))</f>
        <v>8000</v>
      </c>
      <c r="AN19" s="158">
        <f>IF(OR(T19=0,T19=""),"",SUM(AL19-AM19))</f>
        <v>0</v>
      </c>
      <c r="AO19" s="157">
        <f>IF(OR(T19=0,T19=""),"",AO18)</f>
        <v>3000</v>
      </c>
      <c r="AP19" s="153">
        <f>IF(OR(T19=0,T19=""),"",AP18)</f>
        <v>3000</v>
      </c>
      <c r="AQ19" s="158">
        <f t="array" ref="AQ19">IF(OR(U19=0,U19=""),"",SUM(AO19-AP19))</f>
        <v>0</v>
      </c>
      <c r="AR19" s="154">
        <f>IF(OR(T19=0,T19=""),"",AR18)</f>
        <v>875</v>
      </c>
      <c r="AS19" s="153">
        <f>IF(OR(T19=0,T19=""),"",AS18)</f>
        <v>875</v>
      </c>
      <c r="AT19" s="159">
        <f>IF(OR(T19=0,T19=""),"",SUM(AR19-AS19))</f>
        <v>0</v>
      </c>
      <c r="AU19" s="167">
        <f t="shared" si="9"/>
        <v>295</v>
      </c>
      <c r="AV19" s="168">
        <f>IF(OR(T19=0,T19=""),"",SUM(AN19,AQ19,AT19,AU19))</f>
        <v>295</v>
      </c>
      <c r="AW19" s="162">
        <f>IF(OR(T19=0,T19=""),"",SUM(AK19-AV19))</f>
        <v>2650</v>
      </c>
      <c r="AX19" s="615"/>
      <c r="AY19" s="96"/>
    </row>
    <row r="20" spans="1:51" ht="26.25" customHeight="1" thickBot="1">
      <c r="A20" s="242"/>
      <c r="B20" s="563"/>
      <c r="C20" s="242"/>
      <c r="D20" s="60"/>
      <c r="E20" s="60"/>
      <c r="F20" s="60"/>
      <c r="G20" s="60"/>
      <c r="H20" s="60"/>
      <c r="I20" s="60"/>
      <c r="J20" s="115">
        <f>IF(U20="","",MONTH(U20))</f>
        <v>1</v>
      </c>
      <c r="K20" s="60"/>
      <c r="L20" s="170"/>
      <c r="M20" s="97">
        <f t="shared" si="10"/>
        <v>73200</v>
      </c>
      <c r="N20" s="97"/>
      <c r="O20" s="616"/>
      <c r="P20" s="116">
        <f t="shared" si="11"/>
        <v>1</v>
      </c>
      <c r="Q20" s="618">
        <f t="shared" si="12"/>
        <v>45296</v>
      </c>
      <c r="R20" s="618"/>
      <c r="S20" s="242"/>
      <c r="T20" s="135">
        <f t="shared" ref="T20" si="18">IF(U20="","",T19+1)</f>
        <v>10</v>
      </c>
      <c r="U20" s="136">
        <f t="shared" si="17"/>
        <v>45296</v>
      </c>
      <c r="V20" s="157">
        <f t="shared" ref="V20" si="19">IF(T20="","",M20)</f>
        <v>73200</v>
      </c>
      <c r="W20" s="153">
        <f>IF(OR(T20=0,T20=""),"",IF(T20&gt;=1,ROUND(V20*0.46,0),""))</f>
        <v>33672</v>
      </c>
      <c r="X20" s="138">
        <f t="shared" si="15"/>
        <v>0</v>
      </c>
      <c r="Y20" s="153">
        <f t="array" ref="Y20">IF(OR(U20=0,U20=""),"",ROUND(V20*0.09,0))</f>
        <v>6588</v>
      </c>
      <c r="Z20" s="165">
        <f t="array" ref="Z20">IF(OR(U20=0,U20=""),"",SUM(V20:Y20))</f>
        <v>113460</v>
      </c>
      <c r="AA20" s="154">
        <f t="shared" ref="AA20" si="20">IF(U20="","",IF(J20=7,ROUND(AA19*1.03,-2),IF(J19&lt;U20,AA19,"")))</f>
        <v>71300</v>
      </c>
      <c r="AB20" s="153">
        <f>IF(OR(T20=0,T20=""),"",IF(T20&gt;=1,ROUND(AA20*0.46,0),""))</f>
        <v>32798</v>
      </c>
      <c r="AC20" s="138">
        <v>0</v>
      </c>
      <c r="AD20" s="153">
        <f t="shared" ref="AD20" si="21">IF(OR(T20=0,T20=""),"",ROUND(AA20*0.09,0))</f>
        <v>6417</v>
      </c>
      <c r="AE20" s="165">
        <f t="shared" ref="AE20" si="22">IF(OR(T20=0,T20=""),"",SUM(AA20:AD20))</f>
        <v>110515</v>
      </c>
      <c r="AF20" s="154">
        <f t="shared" ref="AF20" si="23">IF(OR(T20="",T20=0),"",V20-AA20)</f>
        <v>1900</v>
      </c>
      <c r="AG20" s="153">
        <f t="shared" ref="AG20" si="24">IF(OR(T20="",T20=0),"",W20-AB20)</f>
        <v>874</v>
      </c>
      <c r="AH20" s="153">
        <f t="shared" ref="AH20" si="25">IF(J20="","",IF(AND(J20&gt;=7,J20&lt;=10),ROUND(V20*0.04,0),0))</f>
        <v>0</v>
      </c>
      <c r="AI20" s="153">
        <f t="shared" si="7"/>
        <v>0</v>
      </c>
      <c r="AJ20" s="153">
        <f t="shared" ref="AJ20" si="26">IF(OR(T20="",T20=0),"",Y20-AD20)</f>
        <v>171</v>
      </c>
      <c r="AK20" s="155">
        <f>IF(OR(T20="",T20=0),"",SUM(AF20,AG20,AJ20))</f>
        <v>2945</v>
      </c>
      <c r="AL20" s="166">
        <f>IF(OR(T20=0,T20=""),"",IF(AND(J20&gt;=7,J20&lt;=10),IFERROR(VLOOKUP($B$7,'Basic Data Entry'!$C$7:$X$20,21,0)+AH20,""),IFERROR(VLOOKUP($B$7,'Basic Data Entry'!$C$7:$X$20,21,0),"")))</f>
        <v>8000</v>
      </c>
      <c r="AM20" s="157">
        <f>IF(OR(T20=0,T20=""),"",IF(AND(J20&gt;=7,J20&lt;=10),IFERROR(VLOOKUP($B$7,'Basic Data Entry'!$C$7:$X$20,21,0)+ROUND(AA20*0.04,0),""),IFERROR(VLOOKUP($B$7,'Basic Data Entry'!$C$7:$X$20,21,0),"")))</f>
        <v>8000</v>
      </c>
      <c r="AN20" s="158">
        <f>IF(OR(T20=0,T20=""),"",SUM(AL20-AM20))</f>
        <v>0</v>
      </c>
      <c r="AO20" s="157">
        <f>IF(OR(T20=0,T20=""),"",AO19)</f>
        <v>3000</v>
      </c>
      <c r="AP20" s="153">
        <f>IF(OR(T20=0,T20=""),"",AP19)</f>
        <v>3000</v>
      </c>
      <c r="AQ20" s="158">
        <f t="array" ref="AQ20">IF(OR(U20=0,U20=""),"",SUM(AO20-AP20))</f>
        <v>0</v>
      </c>
      <c r="AR20" s="154">
        <f>IF(OR(T20=0,T20=""),"",AR19)</f>
        <v>875</v>
      </c>
      <c r="AS20" s="153">
        <f>IF(OR(T20=0,T20=""),"",AS19)</f>
        <v>875</v>
      </c>
      <c r="AT20" s="159">
        <f>IF(OR(T20=0,T20=""),"",SUM(AR20-AS20))</f>
        <v>0</v>
      </c>
      <c r="AU20" s="167">
        <f t="shared" si="9"/>
        <v>295</v>
      </c>
      <c r="AV20" s="168">
        <f>IF(OR(T20=0,T20=""),"",SUM(AN20,AQ20,AT20,AU20))</f>
        <v>295</v>
      </c>
      <c r="AW20" s="162">
        <f>IF(OR(T20=0,T20=""),"",SUM(AK20-AV20))</f>
        <v>2650</v>
      </c>
      <c r="AX20" s="169"/>
      <c r="AY20" s="96"/>
    </row>
    <row r="21" spans="1:51" ht="68.25" customHeight="1" thickBot="1">
      <c r="A21" s="242"/>
      <c r="B21" s="563"/>
      <c r="C21" s="242"/>
      <c r="D21" s="97"/>
      <c r="E21" s="97"/>
      <c r="F21" s="97"/>
      <c r="G21" s="97"/>
      <c r="H21" s="97"/>
      <c r="I21" s="97"/>
      <c r="J21" s="97"/>
      <c r="K21" s="97"/>
      <c r="L21" s="97"/>
      <c r="M21" s="97"/>
      <c r="N21" s="97"/>
      <c r="O21" s="60"/>
      <c r="P21" s="97"/>
      <c r="Q21" s="97"/>
      <c r="R21" s="97"/>
      <c r="S21" s="242"/>
      <c r="T21" s="569" t="s">
        <v>16</v>
      </c>
      <c r="U21" s="570"/>
      <c r="V21" s="171">
        <f t="array" ref="V21">SUM(V11:V20)</f>
        <v>725700</v>
      </c>
      <c r="W21" s="171">
        <f t="array" ref="W21">SUM(W11:W20)</f>
        <v>325290</v>
      </c>
      <c r="X21" s="171">
        <f t="array" ref="X21">SUM(X11:X20)</f>
        <v>0</v>
      </c>
      <c r="Y21" s="171">
        <f t="array" ref="Y21">SUM(Y11:Y20)</f>
        <v>65313</v>
      </c>
      <c r="Z21" s="172">
        <f t="array" ref="Z21">SUM(Z11:Z20)</f>
        <v>1116303</v>
      </c>
      <c r="AA21" s="173">
        <f t="array" ref="AA21">SUM(AA11:AA20)</f>
        <v>706700</v>
      </c>
      <c r="AB21" s="171">
        <f t="array" ref="AB21">SUM(AB11:AB20)</f>
        <v>316778</v>
      </c>
      <c r="AC21" s="171">
        <f t="array" ref="AC21">SUM(AC11:AC20)</f>
        <v>0</v>
      </c>
      <c r="AD21" s="171">
        <f t="array" ref="AD21">SUM(AD11:AD20)</f>
        <v>63603</v>
      </c>
      <c r="AE21" s="172">
        <f t="array" ref="AE21">SUM(AE11:AE20)</f>
        <v>1087081</v>
      </c>
      <c r="AF21" s="173">
        <f t="array" ref="AF21">SUM(AF11:AF20)</f>
        <v>19000</v>
      </c>
      <c r="AG21" s="171">
        <f t="array" ref="AG21">SUM(AG11:AG20)</f>
        <v>8512</v>
      </c>
      <c r="AH21" s="171">
        <f t="array" ref="AH21">SUM(AH11:AH20)</f>
        <v>11712</v>
      </c>
      <c r="AI21" s="171">
        <f t="array" ref="AI21">SUM(AI11:AI20)</f>
        <v>0</v>
      </c>
      <c r="AJ21" s="171">
        <f t="array" ref="AJ21">SUM(AJ11:AJ20)</f>
        <v>1710</v>
      </c>
      <c r="AK21" s="172">
        <f t="array" ref="AK21">SUM(AK11:AK20)</f>
        <v>29222</v>
      </c>
      <c r="AL21" s="173">
        <f t="array" ref="AL21">SUM(AL11:AL20)</f>
        <v>91712</v>
      </c>
      <c r="AM21" s="171">
        <f t="array" ref="AM21">SUM(AM11:AM20)</f>
        <v>91408</v>
      </c>
      <c r="AN21" s="172">
        <f t="array" ref="AN21">SUM(AN11:AN20)</f>
        <v>304</v>
      </c>
      <c r="AO21" s="173">
        <f t="array" ref="AO21">SUM(AO11:AO20)</f>
        <v>30000</v>
      </c>
      <c r="AP21" s="171">
        <f t="array" ref="AP21">SUM(AP11:AP20)</f>
        <v>30000</v>
      </c>
      <c r="AQ21" s="172">
        <f t="array" ref="AQ21">SUM(AQ11:AQ20)</f>
        <v>0</v>
      </c>
      <c r="AR21" s="174">
        <f t="array" ref="AR21">SUM(AR11:AR20)</f>
        <v>8750</v>
      </c>
      <c r="AS21" s="174">
        <f t="array" ref="AS21">SUM(AS11:AS20)</f>
        <v>8750</v>
      </c>
      <c r="AT21" s="175">
        <f t="array" ref="AT21">SUM(AT11:AT20)</f>
        <v>0</v>
      </c>
      <c r="AU21" s="176">
        <f t="array" ref="AU21">SUM(AU11:AU20)</f>
        <v>2926</v>
      </c>
      <c r="AV21" s="177">
        <f t="array" ref="AV21">SUM(AV11:AV20)</f>
        <v>3230</v>
      </c>
      <c r="AW21" s="178">
        <f t="array" ref="AW21">SUM(AW11:AW20)</f>
        <v>25992</v>
      </c>
      <c r="AX21" s="179"/>
      <c r="AY21" s="96"/>
    </row>
    <row r="22" spans="1:51" ht="23.25" customHeight="1" thickBot="1">
      <c r="A22" s="242"/>
      <c r="B22" s="563"/>
      <c r="C22" s="242"/>
      <c r="D22" s="97"/>
      <c r="E22" s="97"/>
      <c r="F22" s="97"/>
      <c r="G22" s="97"/>
      <c r="H22" s="97"/>
      <c r="I22" s="97"/>
      <c r="J22" s="97"/>
      <c r="K22" s="97"/>
      <c r="L22" s="97"/>
      <c r="M22" s="97"/>
      <c r="N22" s="97"/>
      <c r="O22" s="60"/>
      <c r="P22" s="97"/>
      <c r="Q22" s="97"/>
      <c r="R22" s="97"/>
      <c r="S22" s="242"/>
      <c r="T22" s="490" t="s">
        <v>17</v>
      </c>
      <c r="U22" s="491"/>
      <c r="V22" s="491"/>
      <c r="W22" s="491"/>
      <c r="X22" s="491"/>
      <c r="Y22" s="491"/>
      <c r="Z22" s="491"/>
      <c r="AA22" s="491"/>
      <c r="AB22" s="491"/>
      <c r="AC22" s="491"/>
      <c r="AD22" s="491"/>
      <c r="AE22" s="491"/>
      <c r="AF22" s="491"/>
      <c r="AG22" s="491"/>
      <c r="AH22" s="491"/>
      <c r="AI22" s="491"/>
      <c r="AJ22" s="491"/>
      <c r="AK22" s="559" t="s">
        <v>36</v>
      </c>
      <c r="AL22" s="560"/>
      <c r="AM22" s="560"/>
      <c r="AN22" s="560"/>
      <c r="AO22" s="560"/>
      <c r="AP22" s="560"/>
      <c r="AQ22" s="560"/>
      <c r="AR22" s="560"/>
      <c r="AS22" s="560"/>
      <c r="AT22" s="560"/>
      <c r="AU22" s="560"/>
      <c r="AV22" s="560"/>
      <c r="AW22" s="560"/>
      <c r="AX22" s="561"/>
      <c r="AY22" s="96"/>
    </row>
    <row r="23" spans="1:51" ht="20.25" customHeight="1">
      <c r="A23" s="242"/>
      <c r="B23" s="563"/>
      <c r="C23" s="242"/>
      <c r="D23" s="97"/>
      <c r="E23" s="97"/>
      <c r="F23" s="97"/>
      <c r="G23" s="97"/>
      <c r="H23" s="97"/>
      <c r="I23" s="97"/>
      <c r="J23" s="97"/>
      <c r="K23" s="97"/>
      <c r="L23" s="97"/>
      <c r="M23" s="97"/>
      <c r="N23" s="97"/>
      <c r="O23" s="60"/>
      <c r="P23" s="97"/>
      <c r="Q23" s="97"/>
      <c r="R23" s="97"/>
      <c r="S23" s="242"/>
      <c r="T23" s="180" t="s">
        <v>18</v>
      </c>
      <c r="U23" s="506" t="s">
        <v>19</v>
      </c>
      <c r="V23" s="504" t="s">
        <v>20</v>
      </c>
      <c r="W23" s="504"/>
      <c r="X23" s="504"/>
      <c r="Y23" s="504"/>
      <c r="Z23" s="504"/>
      <c r="AA23" s="504"/>
      <c r="AB23" s="571">
        <f>AF21</f>
        <v>19000</v>
      </c>
      <c r="AC23" s="571"/>
      <c r="AD23" s="572"/>
      <c r="AE23" s="572"/>
      <c r="AF23" s="572"/>
      <c r="AG23" s="572"/>
      <c r="AH23" s="573"/>
      <c r="AI23" s="573"/>
      <c r="AJ23" s="574"/>
      <c r="AK23" s="559"/>
      <c r="AL23" s="560"/>
      <c r="AM23" s="560"/>
      <c r="AN23" s="560"/>
      <c r="AO23" s="560"/>
      <c r="AP23" s="560"/>
      <c r="AQ23" s="560"/>
      <c r="AR23" s="560"/>
      <c r="AS23" s="560"/>
      <c r="AT23" s="560"/>
      <c r="AU23" s="560"/>
      <c r="AV23" s="560"/>
      <c r="AW23" s="560"/>
      <c r="AX23" s="561"/>
      <c r="AY23" s="96"/>
    </row>
    <row r="24" spans="1:51" ht="20.25" customHeight="1">
      <c r="A24" s="242"/>
      <c r="B24" s="563"/>
      <c r="C24" s="242"/>
      <c r="D24" s="97"/>
      <c r="E24" s="97"/>
      <c r="F24" s="97"/>
      <c r="G24" s="97"/>
      <c r="H24" s="97"/>
      <c r="I24" s="97"/>
      <c r="J24" s="97"/>
      <c r="K24" s="97"/>
      <c r="L24" s="97"/>
      <c r="M24" s="97"/>
      <c r="N24" s="97"/>
      <c r="O24" s="60"/>
      <c r="P24" s="97"/>
      <c r="Q24" s="97"/>
      <c r="R24" s="97"/>
      <c r="S24" s="242"/>
      <c r="T24" s="181" t="s">
        <v>26</v>
      </c>
      <c r="U24" s="507"/>
      <c r="V24" s="505" t="s">
        <v>22</v>
      </c>
      <c r="W24" s="505"/>
      <c r="X24" s="505"/>
      <c r="Y24" s="505"/>
      <c r="Z24" s="505"/>
      <c r="AA24" s="505"/>
      <c r="AB24" s="493">
        <f>AG21</f>
        <v>8512</v>
      </c>
      <c r="AC24" s="493"/>
      <c r="AD24" s="494"/>
      <c r="AE24" s="494"/>
      <c r="AF24" s="494"/>
      <c r="AG24" s="494"/>
      <c r="AH24" s="495"/>
      <c r="AI24" s="495"/>
      <c r="AJ24" s="522"/>
      <c r="AK24" s="559"/>
      <c r="AL24" s="560"/>
      <c r="AM24" s="560"/>
      <c r="AN24" s="560"/>
      <c r="AO24" s="560"/>
      <c r="AP24" s="560"/>
      <c r="AQ24" s="560"/>
      <c r="AR24" s="560"/>
      <c r="AS24" s="560"/>
      <c r="AT24" s="560"/>
      <c r="AU24" s="560"/>
      <c r="AV24" s="560"/>
      <c r="AW24" s="560"/>
      <c r="AX24" s="561"/>
      <c r="AY24" s="96"/>
    </row>
    <row r="25" spans="1:51" ht="20.25" customHeight="1">
      <c r="A25" s="242"/>
      <c r="B25" s="563"/>
      <c r="C25" s="242"/>
      <c r="D25" s="97"/>
      <c r="E25" s="97"/>
      <c r="F25" s="97"/>
      <c r="G25" s="97"/>
      <c r="H25" s="97"/>
      <c r="I25" s="97"/>
      <c r="J25" s="97"/>
      <c r="K25" s="97"/>
      <c r="L25" s="97"/>
      <c r="M25" s="97"/>
      <c r="N25" s="97"/>
      <c r="O25" s="60"/>
      <c r="P25" s="97"/>
      <c r="Q25" s="97"/>
      <c r="R25" s="97"/>
      <c r="S25" s="242"/>
      <c r="T25" s="181" t="s">
        <v>21</v>
      </c>
      <c r="U25" s="507"/>
      <c r="V25" s="505" t="s">
        <v>23</v>
      </c>
      <c r="W25" s="505"/>
      <c r="X25" s="505"/>
      <c r="Y25" s="505"/>
      <c r="Z25" s="505"/>
      <c r="AA25" s="505"/>
      <c r="AB25" s="493">
        <f>AJ21</f>
        <v>1710</v>
      </c>
      <c r="AC25" s="493"/>
      <c r="AD25" s="494"/>
      <c r="AE25" s="494"/>
      <c r="AF25" s="494"/>
      <c r="AG25" s="494"/>
      <c r="AH25" s="495"/>
      <c r="AI25" s="495"/>
      <c r="AJ25" s="522"/>
      <c r="AK25" s="559"/>
      <c r="AL25" s="560"/>
      <c r="AM25" s="560"/>
      <c r="AN25" s="560"/>
      <c r="AO25" s="560"/>
      <c r="AP25" s="560"/>
      <c r="AQ25" s="560"/>
      <c r="AR25" s="560"/>
      <c r="AS25" s="560"/>
      <c r="AT25" s="560"/>
      <c r="AU25" s="560"/>
      <c r="AV25" s="560"/>
      <c r="AW25" s="560"/>
      <c r="AX25" s="561"/>
      <c r="AY25" s="96"/>
    </row>
    <row r="26" spans="1:51" ht="20.25" customHeight="1">
      <c r="A26" s="242"/>
      <c r="B26" s="563"/>
      <c r="C26" s="242"/>
      <c r="D26" s="97"/>
      <c r="E26" s="97"/>
      <c r="F26" s="97"/>
      <c r="G26" s="97"/>
      <c r="H26" s="97"/>
      <c r="I26" s="97"/>
      <c r="J26" s="97"/>
      <c r="K26" s="97"/>
      <c r="L26" s="97"/>
      <c r="M26" s="97"/>
      <c r="N26" s="97"/>
      <c r="O26" s="60"/>
      <c r="P26" s="97"/>
      <c r="Q26" s="97"/>
      <c r="R26" s="97"/>
      <c r="S26" s="242"/>
      <c r="T26" s="181" t="s">
        <v>37</v>
      </c>
      <c r="U26" s="507"/>
      <c r="V26" s="594">
        <f>AI10</f>
        <v>0</v>
      </c>
      <c r="W26" s="595"/>
      <c r="X26" s="595"/>
      <c r="Y26" s="595"/>
      <c r="Z26" s="595"/>
      <c r="AA26" s="596"/>
      <c r="AB26" s="523">
        <f>AI21</f>
        <v>0</v>
      </c>
      <c r="AC26" s="524"/>
      <c r="AD26" s="524"/>
      <c r="AE26" s="524"/>
      <c r="AF26" s="524"/>
      <c r="AG26" s="524"/>
      <c r="AH26" s="524"/>
      <c r="AI26" s="524"/>
      <c r="AJ26" s="525"/>
      <c r="AK26" s="545" t="s">
        <v>24</v>
      </c>
      <c r="AL26" s="546"/>
      <c r="AM26" s="546"/>
      <c r="AN26" s="546"/>
      <c r="AO26" s="546"/>
      <c r="AP26" s="546"/>
      <c r="AQ26" s="546"/>
      <c r="AR26" s="546"/>
      <c r="AS26" s="546"/>
      <c r="AT26" s="546"/>
      <c r="AU26" s="546"/>
      <c r="AV26" s="546"/>
      <c r="AW26" s="546"/>
      <c r="AX26" s="547"/>
      <c r="AY26" s="96"/>
    </row>
    <row r="27" spans="1:51" ht="20.25" customHeight="1" thickBot="1">
      <c r="A27" s="242"/>
      <c r="B27" s="563"/>
      <c r="C27" s="242"/>
      <c r="D27" s="97"/>
      <c r="E27" s="97"/>
      <c r="F27" s="97"/>
      <c r="G27" s="97"/>
      <c r="H27" s="97"/>
      <c r="I27" s="97"/>
      <c r="J27" s="97"/>
      <c r="K27" s="97"/>
      <c r="L27" s="97"/>
      <c r="M27" s="97"/>
      <c r="N27" s="97"/>
      <c r="O27" s="60"/>
      <c r="P27" s="97"/>
      <c r="Q27" s="97"/>
      <c r="R27" s="97"/>
      <c r="S27" s="242"/>
      <c r="T27" s="182"/>
      <c r="U27" s="508"/>
      <c r="V27" s="586" t="s">
        <v>16</v>
      </c>
      <c r="W27" s="586"/>
      <c r="X27" s="586"/>
      <c r="Y27" s="586"/>
      <c r="Z27" s="586"/>
      <c r="AA27" s="586"/>
      <c r="AB27" s="526">
        <f>SUM(AB23:AJ26)</f>
        <v>29222</v>
      </c>
      <c r="AC27" s="526"/>
      <c r="AD27" s="526"/>
      <c r="AE27" s="526"/>
      <c r="AF27" s="526"/>
      <c r="AG27" s="526"/>
      <c r="AH27" s="527"/>
      <c r="AI27" s="527"/>
      <c r="AJ27" s="528"/>
      <c r="AK27" s="548"/>
      <c r="AL27" s="546"/>
      <c r="AM27" s="546"/>
      <c r="AN27" s="546"/>
      <c r="AO27" s="546"/>
      <c r="AP27" s="546"/>
      <c r="AQ27" s="546"/>
      <c r="AR27" s="546"/>
      <c r="AS27" s="546"/>
      <c r="AT27" s="546"/>
      <c r="AU27" s="546"/>
      <c r="AV27" s="546"/>
      <c r="AW27" s="546"/>
      <c r="AX27" s="547"/>
      <c r="AY27" s="96"/>
    </row>
    <row r="28" spans="1:51" ht="20.25" customHeight="1">
      <c r="A28" s="242"/>
      <c r="B28" s="563"/>
      <c r="C28" s="242"/>
      <c r="D28" s="97"/>
      <c r="E28" s="97"/>
      <c r="F28" s="97"/>
      <c r="G28" s="97"/>
      <c r="H28" s="97"/>
      <c r="I28" s="97"/>
      <c r="J28" s="97"/>
      <c r="K28" s="97"/>
      <c r="L28" s="97"/>
      <c r="M28" s="97"/>
      <c r="N28" s="97"/>
      <c r="O28" s="60"/>
      <c r="P28" s="97"/>
      <c r="Q28" s="97"/>
      <c r="R28" s="97"/>
      <c r="S28" s="242"/>
      <c r="T28" s="183" t="s">
        <v>18</v>
      </c>
      <c r="U28" s="590" t="s">
        <v>25</v>
      </c>
      <c r="V28" s="509" t="s">
        <v>43</v>
      </c>
      <c r="W28" s="509"/>
      <c r="X28" s="509"/>
      <c r="Y28" s="509"/>
      <c r="Z28" s="509"/>
      <c r="AA28" s="509"/>
      <c r="AB28" s="487">
        <f>AN21</f>
        <v>304</v>
      </c>
      <c r="AC28" s="487"/>
      <c r="AD28" s="488"/>
      <c r="AE28" s="488"/>
      <c r="AF28" s="488"/>
      <c r="AG28" s="488"/>
      <c r="AH28" s="489"/>
      <c r="AI28" s="489"/>
      <c r="AJ28" s="489"/>
      <c r="AK28" s="548"/>
      <c r="AL28" s="546"/>
      <c r="AM28" s="546"/>
      <c r="AN28" s="546"/>
      <c r="AO28" s="546"/>
      <c r="AP28" s="546"/>
      <c r="AQ28" s="546"/>
      <c r="AR28" s="546"/>
      <c r="AS28" s="546"/>
      <c r="AT28" s="546"/>
      <c r="AU28" s="546"/>
      <c r="AV28" s="546"/>
      <c r="AW28" s="546"/>
      <c r="AX28" s="547"/>
      <c r="AY28" s="96"/>
    </row>
    <row r="29" spans="1:51" ht="20.25" customHeight="1">
      <c r="A29" s="242"/>
      <c r="B29" s="563"/>
      <c r="C29" s="242"/>
      <c r="D29" s="97"/>
      <c r="E29" s="97"/>
      <c r="F29" s="97"/>
      <c r="G29" s="97"/>
      <c r="H29" s="97"/>
      <c r="I29" s="97"/>
      <c r="J29" s="97"/>
      <c r="K29" s="97"/>
      <c r="L29" s="97"/>
      <c r="M29" s="97"/>
      <c r="N29" s="97"/>
      <c r="O29" s="60"/>
      <c r="P29" s="97"/>
      <c r="Q29" s="97"/>
      <c r="R29" s="97"/>
      <c r="S29" s="242"/>
      <c r="T29" s="184" t="s">
        <v>26</v>
      </c>
      <c r="U29" s="590"/>
      <c r="V29" s="505" t="s">
        <v>4</v>
      </c>
      <c r="W29" s="505"/>
      <c r="X29" s="505"/>
      <c r="Y29" s="505"/>
      <c r="Z29" s="505"/>
      <c r="AA29" s="505"/>
      <c r="AB29" s="493">
        <f>AQ21</f>
        <v>0</v>
      </c>
      <c r="AC29" s="493"/>
      <c r="AD29" s="494"/>
      <c r="AE29" s="494"/>
      <c r="AF29" s="494"/>
      <c r="AG29" s="494"/>
      <c r="AH29" s="495"/>
      <c r="AI29" s="495"/>
      <c r="AJ29" s="495"/>
      <c r="AK29" s="548"/>
      <c r="AL29" s="546"/>
      <c r="AM29" s="546"/>
      <c r="AN29" s="546"/>
      <c r="AO29" s="546"/>
      <c r="AP29" s="546"/>
      <c r="AQ29" s="546"/>
      <c r="AR29" s="546"/>
      <c r="AS29" s="546"/>
      <c r="AT29" s="546"/>
      <c r="AU29" s="546"/>
      <c r="AV29" s="546"/>
      <c r="AW29" s="546"/>
      <c r="AX29" s="547"/>
      <c r="AY29" s="96"/>
    </row>
    <row r="30" spans="1:51" ht="20.25" customHeight="1">
      <c r="A30" s="242"/>
      <c r="B30" s="563"/>
      <c r="C30" s="242"/>
      <c r="D30" s="97"/>
      <c r="E30" s="97"/>
      <c r="F30" s="97"/>
      <c r="G30" s="97"/>
      <c r="H30" s="97"/>
      <c r="I30" s="97"/>
      <c r="J30" s="97"/>
      <c r="K30" s="97"/>
      <c r="L30" s="97"/>
      <c r="M30" s="97"/>
      <c r="N30" s="97"/>
      <c r="O30" s="60"/>
      <c r="P30" s="97"/>
      <c r="Q30" s="97"/>
      <c r="R30" s="97"/>
      <c r="S30" s="242"/>
      <c r="T30" s="181" t="s">
        <v>21</v>
      </c>
      <c r="U30" s="590"/>
      <c r="V30" s="505" t="s">
        <v>27</v>
      </c>
      <c r="W30" s="505"/>
      <c r="X30" s="505"/>
      <c r="Y30" s="505"/>
      <c r="Z30" s="505"/>
      <c r="AA30" s="505"/>
      <c r="AB30" s="493">
        <f>AU21</f>
        <v>2926</v>
      </c>
      <c r="AC30" s="493"/>
      <c r="AD30" s="494"/>
      <c r="AE30" s="494"/>
      <c r="AF30" s="494"/>
      <c r="AG30" s="494"/>
      <c r="AH30" s="495"/>
      <c r="AI30" s="495"/>
      <c r="AJ30" s="495"/>
      <c r="AK30" s="548"/>
      <c r="AL30" s="546"/>
      <c r="AM30" s="546"/>
      <c r="AN30" s="546"/>
      <c r="AO30" s="546"/>
      <c r="AP30" s="546"/>
      <c r="AQ30" s="546"/>
      <c r="AR30" s="546"/>
      <c r="AS30" s="546"/>
      <c r="AT30" s="546"/>
      <c r="AU30" s="546"/>
      <c r="AV30" s="546"/>
      <c r="AW30" s="546"/>
      <c r="AX30" s="547"/>
      <c r="AY30" s="96"/>
    </row>
    <row r="31" spans="1:51" ht="20.25" customHeight="1">
      <c r="A31" s="242"/>
      <c r="B31" s="563"/>
      <c r="C31" s="242"/>
      <c r="D31" s="97"/>
      <c r="E31" s="97"/>
      <c r="F31" s="97"/>
      <c r="G31" s="97"/>
      <c r="H31" s="97"/>
      <c r="I31" s="97"/>
      <c r="J31" s="97"/>
      <c r="K31" s="97"/>
      <c r="L31" s="97"/>
      <c r="M31" s="97"/>
      <c r="N31" s="97"/>
      <c r="O31" s="60"/>
      <c r="P31" s="97"/>
      <c r="Q31" s="97"/>
      <c r="R31" s="97"/>
      <c r="S31" s="242"/>
      <c r="T31" s="181" t="s">
        <v>37</v>
      </c>
      <c r="U31" s="590"/>
      <c r="V31" s="496" t="s">
        <v>39</v>
      </c>
      <c r="W31" s="497"/>
      <c r="X31" s="497"/>
      <c r="Y31" s="497"/>
      <c r="Z31" s="497"/>
      <c r="AA31" s="498"/>
      <c r="AB31" s="598">
        <f>AT21</f>
        <v>0</v>
      </c>
      <c r="AC31" s="524"/>
      <c r="AD31" s="524"/>
      <c r="AE31" s="524"/>
      <c r="AF31" s="524"/>
      <c r="AG31" s="524"/>
      <c r="AH31" s="524"/>
      <c r="AI31" s="524"/>
      <c r="AJ31" s="525"/>
      <c r="AK31" s="548"/>
      <c r="AL31" s="546"/>
      <c r="AM31" s="546"/>
      <c r="AN31" s="546"/>
      <c r="AO31" s="546"/>
      <c r="AP31" s="546"/>
      <c r="AQ31" s="546"/>
      <c r="AR31" s="546"/>
      <c r="AS31" s="546"/>
      <c r="AT31" s="546"/>
      <c r="AU31" s="546"/>
      <c r="AV31" s="546"/>
      <c r="AW31" s="546"/>
      <c r="AX31" s="547"/>
      <c r="AY31" s="96"/>
    </row>
    <row r="32" spans="1:51" ht="20.25" customHeight="1">
      <c r="A32" s="242"/>
      <c r="B32" s="563"/>
      <c r="C32" s="242"/>
      <c r="D32" s="97"/>
      <c r="E32" s="97"/>
      <c r="F32" s="97"/>
      <c r="G32" s="97"/>
      <c r="H32" s="97"/>
      <c r="I32" s="97"/>
      <c r="J32" s="97"/>
      <c r="K32" s="97"/>
      <c r="L32" s="97"/>
      <c r="M32" s="97"/>
      <c r="N32" s="97"/>
      <c r="O32" s="60"/>
      <c r="P32" s="97"/>
      <c r="Q32" s="97"/>
      <c r="R32" s="97"/>
      <c r="S32" s="242"/>
      <c r="T32" s="185"/>
      <c r="U32" s="591"/>
      <c r="V32" s="483" t="s">
        <v>16</v>
      </c>
      <c r="W32" s="483"/>
      <c r="X32" s="483"/>
      <c r="Y32" s="483"/>
      <c r="Z32" s="483"/>
      <c r="AA32" s="483"/>
      <c r="AB32" s="511">
        <f>SUM(AB28:AJ31)</f>
        <v>3230</v>
      </c>
      <c r="AC32" s="511"/>
      <c r="AD32" s="483"/>
      <c r="AE32" s="483"/>
      <c r="AF32" s="483"/>
      <c r="AG32" s="483"/>
      <c r="AH32" s="512"/>
      <c r="AI32" s="512"/>
      <c r="AJ32" s="512"/>
      <c r="AK32" s="548"/>
      <c r="AL32" s="546"/>
      <c r="AM32" s="546"/>
      <c r="AN32" s="546"/>
      <c r="AO32" s="546"/>
      <c r="AP32" s="546"/>
      <c r="AQ32" s="546"/>
      <c r="AR32" s="546"/>
      <c r="AS32" s="546"/>
      <c r="AT32" s="546"/>
      <c r="AU32" s="546"/>
      <c r="AV32" s="546"/>
      <c r="AW32" s="546"/>
      <c r="AX32" s="547"/>
      <c r="AY32" s="96"/>
    </row>
    <row r="33" spans="1:51" ht="18.75" customHeight="1" thickBot="1">
      <c r="A33" s="242"/>
      <c r="B33" s="563"/>
      <c r="C33" s="242"/>
      <c r="D33" s="97"/>
      <c r="E33" s="97"/>
      <c r="F33" s="97"/>
      <c r="G33" s="97"/>
      <c r="H33" s="97"/>
      <c r="I33" s="97"/>
      <c r="J33" s="97"/>
      <c r="K33" s="97"/>
      <c r="L33" s="97"/>
      <c r="M33" s="97"/>
      <c r="N33" s="97"/>
      <c r="O33" s="60"/>
      <c r="P33" s="97"/>
      <c r="Q33" s="97"/>
      <c r="R33" s="97"/>
      <c r="S33" s="242"/>
      <c r="T33" s="501" t="s">
        <v>28</v>
      </c>
      <c r="U33" s="502"/>
      <c r="V33" s="503"/>
      <c r="W33" s="503"/>
      <c r="X33" s="503"/>
      <c r="Y33" s="503"/>
      <c r="Z33" s="503"/>
      <c r="AA33" s="503"/>
      <c r="AB33" s="552">
        <f>SUM(AB27-AB32)</f>
        <v>25992</v>
      </c>
      <c r="AC33" s="552"/>
      <c r="AD33" s="503"/>
      <c r="AE33" s="503"/>
      <c r="AF33" s="503"/>
      <c r="AG33" s="503"/>
      <c r="AH33" s="553"/>
      <c r="AI33" s="553"/>
      <c r="AJ33" s="553"/>
      <c r="AK33" s="549"/>
      <c r="AL33" s="550"/>
      <c r="AM33" s="550"/>
      <c r="AN33" s="550"/>
      <c r="AO33" s="550"/>
      <c r="AP33" s="550"/>
      <c r="AQ33" s="550"/>
      <c r="AR33" s="550"/>
      <c r="AS33" s="550"/>
      <c r="AT33" s="550"/>
      <c r="AU33" s="550"/>
      <c r="AV33" s="550"/>
      <c r="AW33" s="550"/>
      <c r="AX33" s="551"/>
      <c r="AY33" s="96"/>
    </row>
    <row r="34" spans="1:51" ht="10.5" customHeight="1">
      <c r="A34" s="242"/>
      <c r="B34" s="563"/>
      <c r="C34" s="242"/>
      <c r="D34" s="97"/>
      <c r="E34" s="97"/>
      <c r="F34" s="97"/>
      <c r="G34" s="97"/>
      <c r="H34" s="97"/>
      <c r="I34" s="97"/>
      <c r="J34" s="97"/>
      <c r="K34" s="97"/>
      <c r="L34" s="97"/>
      <c r="M34" s="97"/>
      <c r="N34" s="97"/>
      <c r="O34" s="60"/>
      <c r="P34" s="97"/>
      <c r="Q34" s="97"/>
      <c r="R34" s="97"/>
      <c r="S34" s="242"/>
      <c r="T34" s="540"/>
      <c r="U34" s="540"/>
      <c r="V34" s="540"/>
      <c r="W34" s="540"/>
      <c r="X34" s="540"/>
      <c r="Y34" s="540"/>
      <c r="Z34" s="540"/>
      <c r="AA34" s="540"/>
      <c r="AB34" s="540"/>
      <c r="AC34" s="540"/>
      <c r="AD34" s="540"/>
      <c r="AE34" s="540"/>
      <c r="AF34" s="540"/>
      <c r="AG34" s="540"/>
      <c r="AH34" s="540"/>
      <c r="AI34" s="540"/>
      <c r="AJ34" s="540"/>
      <c r="AK34" s="540"/>
      <c r="AL34" s="540"/>
      <c r="AM34" s="540"/>
      <c r="AN34" s="540"/>
      <c r="AO34" s="540"/>
      <c r="AP34" s="540"/>
      <c r="AQ34" s="540"/>
      <c r="AR34" s="540"/>
      <c r="AS34" s="540"/>
      <c r="AT34" s="540"/>
      <c r="AU34" s="540"/>
      <c r="AV34" s="540"/>
      <c r="AW34" s="540"/>
      <c r="AX34" s="540"/>
      <c r="AY34" s="96"/>
    </row>
    <row r="35" spans="1:51" hidden="1"/>
    <row r="36" spans="1:51" hidden="1">
      <c r="B36" s="4" t="str">
        <f>IF('Basic Data Entry'!C7="","",'Basic Data Entry'!C7)</f>
        <v>A</v>
      </c>
    </row>
    <row r="37" spans="1:51" hidden="1">
      <c r="B37" s="4" t="str">
        <f>IF('Basic Data Entry'!C9="","",'Basic Data Entry'!C9)</f>
        <v>B</v>
      </c>
    </row>
    <row r="38" spans="1:51" hidden="1">
      <c r="B38" s="4" t="str">
        <f>IF('Basic Data Entry'!C11="","",'Basic Data Entry'!C11)</f>
        <v>C</v>
      </c>
    </row>
    <row r="39" spans="1:51" hidden="1">
      <c r="B39" s="4" t="str">
        <f>IF('Basic Data Entry'!C13="","",'Basic Data Entry'!C13)</f>
        <v>D</v>
      </c>
    </row>
    <row r="40" spans="1:51" hidden="1">
      <c r="B40" s="4" t="str">
        <f>IF('Basic Data Entry'!C15="","",'Basic Data Entry'!C15)</f>
        <v/>
      </c>
    </row>
    <row r="41" spans="1:51" hidden="1">
      <c r="B41" s="4" t="str">
        <f>IF('Basic Data Entry'!C17="","",'Basic Data Entry'!C17)</f>
        <v/>
      </c>
    </row>
    <row r="42" spans="1:51" hidden="1">
      <c r="B42" s="4" t="str">
        <f>IF('Basic Data Entry'!C19="","",'Basic Data Entry'!C19)</f>
        <v/>
      </c>
    </row>
    <row r="43" spans="1:51" hidden="1">
      <c r="B43" s="4"/>
    </row>
    <row r="44" spans="1:51" hidden="1"/>
    <row r="45" spans="1:51" hidden="1"/>
    <row r="46" spans="1:51" hidden="1"/>
    <row r="47" spans="1:51" hidden="1"/>
    <row r="48" spans="1:5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E8FA" sheet="1" objects="1" scenarios="1" formatCells="0" formatColumns="0" formatRows="0"/>
  <mergeCells count="70">
    <mergeCell ref="T1:AX1"/>
    <mergeCell ref="AQ7:AX7"/>
    <mergeCell ref="V30:AA30"/>
    <mergeCell ref="V27:AA27"/>
    <mergeCell ref="AV9:AV10"/>
    <mergeCell ref="T3:U3"/>
    <mergeCell ref="U28:U32"/>
    <mergeCell ref="AU9:AU10"/>
    <mergeCell ref="V25:AA25"/>
    <mergeCell ref="V26:AA26"/>
    <mergeCell ref="AO9:AQ9"/>
    <mergeCell ref="AA9:AE9"/>
    <mergeCell ref="AB25:AJ25"/>
    <mergeCell ref="AB31:AJ31"/>
    <mergeCell ref="AW9:AW10"/>
    <mergeCell ref="V9:Z9"/>
    <mergeCell ref="AK22:AX25"/>
    <mergeCell ref="B9:B34"/>
    <mergeCell ref="Y2:AB2"/>
    <mergeCell ref="AR8:AX8"/>
    <mergeCell ref="T9:T10"/>
    <mergeCell ref="AI8:AK8"/>
    <mergeCell ref="AM7:AP7"/>
    <mergeCell ref="T21:U21"/>
    <mergeCell ref="AB23:AJ23"/>
    <mergeCell ref="AX9:AX10"/>
    <mergeCell ref="AC2:AD2"/>
    <mergeCell ref="T5:AX5"/>
    <mergeCell ref="T2:U2"/>
    <mergeCell ref="AE2:AI2"/>
    <mergeCell ref="AN2:AQ2"/>
    <mergeCell ref="V3:AX3"/>
    <mergeCell ref="AM8:AO8"/>
    <mergeCell ref="T4:AX4"/>
    <mergeCell ref="V2:X2"/>
    <mergeCell ref="AD7:AL7"/>
    <mergeCell ref="T8:AF8"/>
    <mergeCell ref="AK2:AM2"/>
    <mergeCell ref="AR2:AW2"/>
    <mergeCell ref="AB29:AJ29"/>
    <mergeCell ref="V31:AA31"/>
    <mergeCell ref="B7:B8"/>
    <mergeCell ref="T33:AA33"/>
    <mergeCell ref="V23:AA23"/>
    <mergeCell ref="V24:AA24"/>
    <mergeCell ref="U23:U27"/>
    <mergeCell ref="V28:AA28"/>
    <mergeCell ref="X7:AC7"/>
    <mergeCell ref="C4:C34"/>
    <mergeCell ref="V29:AA29"/>
    <mergeCell ref="S4:S34"/>
    <mergeCell ref="AB32:AJ32"/>
    <mergeCell ref="AR9:AT9"/>
    <mergeCell ref="AL9:AN9"/>
    <mergeCell ref="A4:A34"/>
    <mergeCell ref="V32:AA32"/>
    <mergeCell ref="T6:AX6"/>
    <mergeCell ref="AB28:AJ28"/>
    <mergeCell ref="T22:AJ22"/>
    <mergeCell ref="AF9:AK9"/>
    <mergeCell ref="AB24:AJ24"/>
    <mergeCell ref="AB26:AJ26"/>
    <mergeCell ref="AB27:AJ27"/>
    <mergeCell ref="T7:W7"/>
    <mergeCell ref="B4:B6"/>
    <mergeCell ref="T34:AX34"/>
    <mergeCell ref="U9:U10"/>
    <mergeCell ref="AB30:AJ30"/>
    <mergeCell ref="AK26:AX33"/>
    <mergeCell ref="AB33:AJ33"/>
  </mergeCells>
  <conditionalFormatting sqref="AA12:AA20 V11:V20">
    <cfRule type="expression" dxfId="5" priority="14">
      <formula>#REF!=7</formula>
    </cfRule>
  </conditionalFormatting>
  <conditionalFormatting sqref="V26:AJ26 AC10 X10 AI10 X7:AC7 AM7:AP7">
    <cfRule type="cellIs" dxfId="4" priority="10" operator="equal">
      <formula>0</formula>
    </cfRule>
  </conditionalFormatting>
  <conditionalFormatting sqref="AC11:AC20 AW12:AX20 T12:V20 AA12:AU20">
    <cfRule type="expression" dxfId="3" priority="13">
      <formula>$U11=0</formula>
    </cfRule>
  </conditionalFormatting>
  <conditionalFormatting sqref="T11:AX20">
    <cfRule type="expression" dxfId="2" priority="1">
      <formula>$T11=""</formula>
    </cfRule>
  </conditionalFormatting>
  <dataValidations count="2">
    <dataValidation type="list" allowBlank="1" showInputMessage="1" showErrorMessage="1" sqref="Y2">
      <formula1>"Subordinate,State,Ministrial"</formula1>
    </dataValidation>
    <dataValidation type="list" allowBlank="1" showInputMessage="1" showErrorMessage="1" sqref="B7:B8">
      <formula1>$B$36:$B$42</formula1>
    </dataValidation>
  </dataValidations>
  <pageMargins left="0.31496062992125984" right="0.19685039370078741" top="0.31496062992125984" bottom="0.35433070866141736" header="0.31496062992125984" footer="0.31496062992125984"/>
  <pageSetup paperSize="9" scale="63"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AU76"/>
  <sheetViews>
    <sheetView showGridLines="0" topLeftCell="A4" zoomScale="85" workbookViewId="0">
      <selection activeCell="AS21" sqref="AS21"/>
    </sheetView>
  </sheetViews>
  <sheetFormatPr defaultColWidth="0" defaultRowHeight="15" customHeight="1" zeroHeight="1"/>
  <cols>
    <col min="1" max="1" width="2.42578125" style="195" customWidth="1"/>
    <col min="2" max="2" width="19.85546875" style="195" customWidth="1"/>
    <col min="3" max="3" width="2.140625" style="195" customWidth="1"/>
    <col min="4" max="9" width="8.85546875" style="195" hidden="1" customWidth="1"/>
    <col min="10" max="10" width="4.140625" style="195" hidden="1" customWidth="1"/>
    <col min="11" max="11" width="8.85546875" style="195" hidden="1" customWidth="1"/>
    <col min="12" max="12" width="10.28515625" style="195" hidden="1" customWidth="1"/>
    <col min="13" max="14" width="7.28515625" style="195" hidden="1" customWidth="1"/>
    <col min="15" max="15" width="3.28515625" style="195" hidden="1" customWidth="1"/>
    <col min="16" max="16" width="4.5703125" style="195" customWidth="1"/>
    <col min="17" max="17" width="7.85546875" style="195" customWidth="1"/>
    <col min="18" max="19" width="6.7109375" style="195" customWidth="1"/>
    <col min="20" max="20" width="6" style="195" customWidth="1"/>
    <col min="21" max="21" width="6.7109375" style="195" customWidth="1"/>
    <col min="22" max="22" width="10.42578125" style="195" customWidth="1"/>
    <col min="23" max="24" width="6.7109375" style="195" customWidth="1"/>
    <col min="25" max="25" width="5.85546875" style="195" customWidth="1"/>
    <col min="26" max="26" width="6.7109375" style="195" customWidth="1"/>
    <col min="27" max="27" width="10.42578125" style="195" customWidth="1"/>
    <col min="28" max="29" width="6.7109375" style="195" customWidth="1"/>
    <col min="30" max="30" width="6.140625" style="195" hidden="1" customWidth="1"/>
    <col min="31" max="31" width="5.42578125" style="195" customWidth="1"/>
    <col min="32" max="32" width="6.7109375" style="195" customWidth="1"/>
    <col min="33" max="33" width="7.85546875" style="195" customWidth="1"/>
    <col min="34" max="38" width="6.7109375" style="195" customWidth="1"/>
    <col min="39" max="39" width="5.5703125" style="195" customWidth="1"/>
    <col min="40" max="43" width="6.42578125" style="195" customWidth="1"/>
    <col min="44" max="44" width="8.5703125" style="195" customWidth="1"/>
    <col min="45" max="45" width="9.140625" style="195" customWidth="1"/>
    <col min="46" max="46" width="16.85546875" style="195" customWidth="1"/>
    <col min="47" max="47" width="2.5703125" style="3" customWidth="1"/>
    <col min="48" max="16384" width="10.7109375" style="195" hidden="1"/>
  </cols>
  <sheetData>
    <row r="1" spans="1:47" ht="24" hidden="1" customHeight="1">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row>
    <row r="2" spans="1:47" ht="33" hidden="1" customHeight="1">
      <c r="P2" s="581"/>
      <c r="Q2" s="581"/>
      <c r="R2" s="536"/>
      <c r="S2" s="536"/>
      <c r="T2" s="536"/>
      <c r="U2" s="564" t="e">
        <f>'Basic Data Entry'!#REF!</f>
        <v>#REF!</v>
      </c>
      <c r="V2" s="564"/>
      <c r="W2" s="564"/>
      <c r="X2" s="564"/>
      <c r="Y2" s="577" t="s">
        <v>34</v>
      </c>
      <c r="Z2" s="577"/>
      <c r="AA2" s="582" t="e">
        <f>'Basic Data Entry'!#REF!</f>
        <v>#REF!</v>
      </c>
      <c r="AB2" s="582"/>
      <c r="AC2" s="582"/>
      <c r="AD2" s="582"/>
      <c r="AE2" s="582"/>
      <c r="AF2" s="94" t="s">
        <v>32</v>
      </c>
      <c r="AG2" s="582" t="e">
        <f>'Basic Data Entry'!#REF!</f>
        <v>#REF!</v>
      </c>
      <c r="AH2" s="582"/>
      <c r="AI2" s="582"/>
      <c r="AJ2" s="492" t="s">
        <v>35</v>
      </c>
      <c r="AK2" s="492"/>
      <c r="AL2" s="492"/>
      <c r="AM2" s="492"/>
      <c r="AN2" s="492"/>
      <c r="AO2" s="492"/>
      <c r="AP2" s="492"/>
      <c r="AQ2" s="492"/>
      <c r="AR2" s="492"/>
      <c r="AS2" s="492"/>
      <c r="AT2" s="95" t="e">
        <f>'Basic Data Entry'!#REF!</f>
        <v>#REF!</v>
      </c>
      <c r="AU2" s="96"/>
    </row>
    <row r="3" spans="1:47" ht="28.5" hidden="1" customHeight="1">
      <c r="P3" s="589"/>
      <c r="Q3" s="589"/>
      <c r="R3" s="531"/>
      <c r="S3" s="531"/>
      <c r="T3" s="531"/>
      <c r="U3" s="531"/>
      <c r="V3" s="531"/>
      <c r="W3" s="531"/>
      <c r="X3" s="531"/>
      <c r="Y3" s="531"/>
      <c r="Z3" s="531"/>
      <c r="AA3" s="531"/>
      <c r="AB3" s="531"/>
      <c r="AC3" s="531"/>
      <c r="AD3" s="531"/>
      <c r="AE3" s="531"/>
      <c r="AF3" s="531"/>
      <c r="AG3" s="531"/>
      <c r="AH3" s="531"/>
      <c r="AI3" s="531"/>
      <c r="AJ3" s="531"/>
      <c r="AK3" s="531"/>
      <c r="AL3" s="531"/>
      <c r="AM3" s="531"/>
      <c r="AN3" s="531"/>
      <c r="AO3" s="531"/>
      <c r="AP3" s="531"/>
      <c r="AQ3" s="531"/>
      <c r="AR3" s="531"/>
      <c r="AS3" s="531"/>
      <c r="AT3" s="531"/>
      <c r="AU3" s="96"/>
    </row>
    <row r="4" spans="1:47" ht="60" customHeight="1">
      <c r="A4" s="242"/>
      <c r="B4" s="538" t="s">
        <v>103</v>
      </c>
      <c r="C4" s="242"/>
      <c r="D4" s="97"/>
      <c r="E4" s="97"/>
      <c r="F4" s="97"/>
      <c r="G4" s="97"/>
      <c r="H4" s="97"/>
      <c r="I4" s="97"/>
      <c r="J4" s="97"/>
      <c r="K4" s="97"/>
      <c r="L4" s="97"/>
      <c r="M4" s="97"/>
      <c r="N4" s="97"/>
      <c r="O4" s="242"/>
      <c r="P4" s="533" t="str">
        <f>'MACP Order'!B2</f>
        <v>dk;kZy;% ç/kkukpk;Z] jkmekfo jk;eyok³k] ckfi.kh ¼tks/kiqj½</v>
      </c>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5"/>
      <c r="AU4" s="96"/>
    </row>
    <row r="5" spans="1:47" ht="25.5" customHeight="1">
      <c r="A5" s="242"/>
      <c r="B5" s="539"/>
      <c r="C5" s="242"/>
      <c r="D5" s="97"/>
      <c r="E5" s="97"/>
      <c r="F5" s="97"/>
      <c r="G5" s="97"/>
      <c r="H5" s="97"/>
      <c r="I5" s="97"/>
      <c r="J5" s="97"/>
      <c r="K5" s="97"/>
      <c r="L5" s="97"/>
      <c r="M5" s="97"/>
      <c r="N5" s="97"/>
      <c r="O5" s="242"/>
      <c r="P5" s="578" t="s">
        <v>148</v>
      </c>
      <c r="Q5" s="579"/>
      <c r="R5" s="579"/>
      <c r="S5" s="579"/>
      <c r="T5" s="579"/>
      <c r="U5" s="579"/>
      <c r="V5" s="579"/>
      <c r="W5" s="579"/>
      <c r="X5" s="579"/>
      <c r="Y5" s="579"/>
      <c r="Z5" s="579"/>
      <c r="AA5" s="579"/>
      <c r="AB5" s="579"/>
      <c r="AC5" s="579"/>
      <c r="AD5" s="579"/>
      <c r="AE5" s="579"/>
      <c r="AF5" s="579"/>
      <c r="AG5" s="579"/>
      <c r="AH5" s="579"/>
      <c r="AI5" s="579"/>
      <c r="AJ5" s="579"/>
      <c r="AK5" s="579"/>
      <c r="AL5" s="579"/>
      <c r="AM5" s="579"/>
      <c r="AN5" s="579"/>
      <c r="AO5" s="579"/>
      <c r="AP5" s="579"/>
      <c r="AQ5" s="579"/>
      <c r="AR5" s="579"/>
      <c r="AS5" s="579"/>
      <c r="AT5" s="580"/>
      <c r="AU5" s="96"/>
    </row>
    <row r="6" spans="1:47" ht="99" customHeight="1" thickBot="1">
      <c r="A6" s="242"/>
      <c r="B6" s="539"/>
      <c r="C6" s="242"/>
      <c r="D6" s="97"/>
      <c r="E6" s="97"/>
      <c r="F6" s="97"/>
      <c r="G6" s="97"/>
      <c r="H6" s="97"/>
      <c r="I6" s="97"/>
      <c r="J6" s="97"/>
      <c r="K6" s="97"/>
      <c r="L6" s="97"/>
      <c r="M6" s="97"/>
      <c r="N6" s="97"/>
      <c r="O6" s="242"/>
      <c r="P6" s="484" t="s">
        <v>149</v>
      </c>
      <c r="Q6" s="485"/>
      <c r="R6" s="485"/>
      <c r="S6" s="485"/>
      <c r="T6" s="485"/>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5"/>
      <c r="AS6" s="485"/>
      <c r="AT6" s="486"/>
      <c r="AU6" s="96"/>
    </row>
    <row r="7" spans="1:47" ht="19.5" thickBot="1">
      <c r="A7" s="242"/>
      <c r="B7" s="499" t="s">
        <v>98</v>
      </c>
      <c r="C7" s="242"/>
      <c r="D7" s="97"/>
      <c r="E7" s="97"/>
      <c r="F7" s="97"/>
      <c r="G7" s="97"/>
      <c r="H7" s="97"/>
      <c r="I7" s="97"/>
      <c r="J7" s="97"/>
      <c r="K7" s="97"/>
      <c r="L7" s="97"/>
      <c r="M7" s="97"/>
      <c r="N7" s="97"/>
      <c r="O7" s="242"/>
      <c r="P7" s="529" t="s">
        <v>0</v>
      </c>
      <c r="Q7" s="530"/>
      <c r="R7" s="530"/>
      <c r="S7" s="530"/>
      <c r="T7" s="510" t="str">
        <f>B7</f>
        <v>A</v>
      </c>
      <c r="U7" s="510"/>
      <c r="V7" s="510"/>
      <c r="W7" s="510"/>
      <c r="X7" s="510"/>
      <c r="Y7" s="510"/>
      <c r="Z7" s="537"/>
      <c r="AA7" s="537"/>
      <c r="AB7" s="537"/>
      <c r="AC7" s="537"/>
      <c r="AD7" s="537"/>
      <c r="AE7" s="537"/>
      <c r="AF7" s="537"/>
      <c r="AG7" s="537"/>
      <c r="AH7" s="537"/>
      <c r="AI7" s="530" t="s">
        <v>110</v>
      </c>
      <c r="AJ7" s="530"/>
      <c r="AK7" s="530"/>
      <c r="AL7" s="530"/>
      <c r="AM7" s="584" t="str">
        <f>IFERROR(VLOOKUP(B7,'Basic Data Entry'!C7:D20,2),"")</f>
        <v>Teacher 
(GSS Raimalwada)</v>
      </c>
      <c r="AN7" s="584"/>
      <c r="AO7" s="584"/>
      <c r="AP7" s="584"/>
      <c r="AQ7" s="584"/>
      <c r="AR7" s="584"/>
      <c r="AS7" s="584"/>
      <c r="AT7" s="585"/>
      <c r="AU7" s="96"/>
    </row>
    <row r="8" spans="1:47" s="98" customFormat="1" ht="27" thickBot="1">
      <c r="A8" s="242"/>
      <c r="B8" s="500"/>
      <c r="C8" s="242"/>
      <c r="D8" s="97"/>
      <c r="E8" s="97"/>
      <c r="F8" s="97"/>
      <c r="G8" s="97"/>
      <c r="H8" s="97"/>
      <c r="I8" s="97"/>
      <c r="J8" s="97"/>
      <c r="K8" s="97"/>
      <c r="L8" s="97"/>
      <c r="M8" s="97"/>
      <c r="N8" s="97"/>
      <c r="O8" s="242"/>
      <c r="P8" s="543" t="s">
        <v>84</v>
      </c>
      <c r="Q8" s="544"/>
      <c r="R8" s="544"/>
      <c r="S8" s="544"/>
      <c r="T8" s="544"/>
      <c r="U8" s="544"/>
      <c r="V8" s="544"/>
      <c r="W8" s="544"/>
      <c r="X8" s="544"/>
      <c r="Y8" s="544"/>
      <c r="Z8" s="544"/>
      <c r="AA8" s="544"/>
      <c r="AB8" s="544"/>
      <c r="AC8" s="99" t="s">
        <v>31</v>
      </c>
      <c r="AD8" s="99"/>
      <c r="AE8" s="532">
        <f>IFERROR(VLOOKUP(B7,'Basic Data Entry'!C7:X20,18,0),"")</f>
        <v>45017</v>
      </c>
      <c r="AF8" s="532"/>
      <c r="AG8" s="532"/>
      <c r="AH8" s="100" t="s">
        <v>32</v>
      </c>
      <c r="AI8" s="532">
        <f>IFERROR(VLOOKUP(B7,'Basic Data Entry'!C7:X20,20,0),"")</f>
        <v>45230</v>
      </c>
      <c r="AJ8" s="532"/>
      <c r="AK8" s="532"/>
      <c r="AL8" s="101" t="s">
        <v>33</v>
      </c>
      <c r="AM8" s="101"/>
      <c r="AN8" s="565"/>
      <c r="AO8" s="565"/>
      <c r="AP8" s="565"/>
      <c r="AQ8" s="565"/>
      <c r="AR8" s="565"/>
      <c r="AS8" s="565"/>
      <c r="AT8" s="566"/>
      <c r="AU8" s="96"/>
    </row>
    <row r="9" spans="1:47" ht="27.75" customHeight="1">
      <c r="A9" s="242"/>
      <c r="B9" s="562"/>
      <c r="C9" s="242"/>
      <c r="D9" s="97"/>
      <c r="E9" s="97"/>
      <c r="F9" s="97"/>
      <c r="G9" s="97"/>
      <c r="H9" s="97"/>
      <c r="I9" s="97"/>
      <c r="J9" s="97"/>
      <c r="K9" s="97"/>
      <c r="L9" s="97"/>
      <c r="M9" s="97"/>
      <c r="N9" s="97"/>
      <c r="O9" s="242"/>
      <c r="P9" s="567" t="s">
        <v>1</v>
      </c>
      <c r="Q9" s="541" t="s">
        <v>2</v>
      </c>
      <c r="R9" s="556" t="s">
        <v>41</v>
      </c>
      <c r="S9" s="557"/>
      <c r="T9" s="557"/>
      <c r="U9" s="557"/>
      <c r="V9" s="558"/>
      <c r="W9" s="519" t="s">
        <v>42</v>
      </c>
      <c r="X9" s="520"/>
      <c r="Y9" s="520"/>
      <c r="Z9" s="520"/>
      <c r="AA9" s="521"/>
      <c r="AB9" s="519" t="s">
        <v>3</v>
      </c>
      <c r="AC9" s="520"/>
      <c r="AD9" s="520"/>
      <c r="AE9" s="520"/>
      <c r="AF9" s="520"/>
      <c r="AG9" s="521"/>
      <c r="AH9" s="516" t="s">
        <v>43</v>
      </c>
      <c r="AI9" s="517"/>
      <c r="AJ9" s="518"/>
      <c r="AK9" s="516" t="s">
        <v>4</v>
      </c>
      <c r="AL9" s="517"/>
      <c r="AM9" s="597"/>
      <c r="AN9" s="513" t="s">
        <v>39</v>
      </c>
      <c r="AO9" s="514"/>
      <c r="AP9" s="515"/>
      <c r="AQ9" s="592" t="s">
        <v>5</v>
      </c>
      <c r="AR9" s="587" t="s">
        <v>6</v>
      </c>
      <c r="AS9" s="554" t="s">
        <v>7</v>
      </c>
      <c r="AT9" s="575" t="s">
        <v>8</v>
      </c>
      <c r="AU9" s="96"/>
    </row>
    <row r="10" spans="1:47" ht="55.5" customHeight="1" thickBot="1">
      <c r="A10" s="242"/>
      <c r="B10" s="563"/>
      <c r="C10" s="242"/>
      <c r="D10" s="97"/>
      <c r="E10" s="97"/>
      <c r="F10" s="97"/>
      <c r="G10" s="97"/>
      <c r="H10" s="97"/>
      <c r="I10" s="97"/>
      <c r="J10" s="97"/>
      <c r="K10" s="97"/>
      <c r="L10" s="97"/>
      <c r="M10" s="97"/>
      <c r="N10" s="97"/>
      <c r="O10" s="242"/>
      <c r="P10" s="568"/>
      <c r="Q10" s="542"/>
      <c r="R10" s="102" t="s">
        <v>9</v>
      </c>
      <c r="S10" s="103" t="s">
        <v>10</v>
      </c>
      <c r="T10" s="104"/>
      <c r="U10" s="103" t="s">
        <v>11</v>
      </c>
      <c r="V10" s="105" t="s">
        <v>12</v>
      </c>
      <c r="W10" s="106" t="s">
        <v>9</v>
      </c>
      <c r="X10" s="107" t="s">
        <v>10</v>
      </c>
      <c r="Y10" s="108">
        <f>T10</f>
        <v>0</v>
      </c>
      <c r="Z10" s="107" t="s">
        <v>11</v>
      </c>
      <c r="AA10" s="109" t="s">
        <v>12</v>
      </c>
      <c r="AB10" s="106" t="s">
        <v>9</v>
      </c>
      <c r="AC10" s="107" t="s">
        <v>10</v>
      </c>
      <c r="AD10" s="107"/>
      <c r="AE10" s="108">
        <f>Y10</f>
        <v>0</v>
      </c>
      <c r="AF10" s="107" t="s">
        <v>11</v>
      </c>
      <c r="AG10" s="109" t="s">
        <v>12</v>
      </c>
      <c r="AH10" s="110" t="s">
        <v>13</v>
      </c>
      <c r="AI10" s="111" t="s">
        <v>14</v>
      </c>
      <c r="AJ10" s="112" t="s">
        <v>15</v>
      </c>
      <c r="AK10" s="110" t="s">
        <v>13</v>
      </c>
      <c r="AL10" s="111" t="s">
        <v>14</v>
      </c>
      <c r="AM10" s="113" t="s">
        <v>15</v>
      </c>
      <c r="AN10" s="110" t="s">
        <v>13</v>
      </c>
      <c r="AO10" s="111" t="s">
        <v>14</v>
      </c>
      <c r="AP10" s="112" t="s">
        <v>15</v>
      </c>
      <c r="AQ10" s="593"/>
      <c r="AR10" s="588"/>
      <c r="AS10" s="555"/>
      <c r="AT10" s="576"/>
      <c r="AU10" s="96"/>
    </row>
    <row r="11" spans="1:47" ht="26.25" hidden="1" customHeight="1">
      <c r="A11" s="242"/>
      <c r="B11" s="563"/>
      <c r="C11" s="242"/>
      <c r="D11" s="114">
        <f>IFERROR(VLOOKUP(B7,'Basic Data Entry'!C7:X20,18,0),"")</f>
        <v>45017</v>
      </c>
      <c r="E11" s="114">
        <f>EOMONTH(D11,0)</f>
        <v>45046</v>
      </c>
      <c r="F11" s="115">
        <f>DAY(E11)</f>
        <v>30</v>
      </c>
      <c r="G11" s="115">
        <f>DAY(D11)</f>
        <v>1</v>
      </c>
      <c r="H11" s="115">
        <f>F11-G11+1</f>
        <v>30</v>
      </c>
      <c r="I11" s="115">
        <f>F11-H11</f>
        <v>0</v>
      </c>
      <c r="J11" s="115">
        <f t="shared" ref="J11:J19" si="0">IF(Q11="","",MONTH(Q11))</f>
        <v>4</v>
      </c>
      <c r="K11" s="114">
        <f>IFERROR(VLOOKUP(B7,'Basic Data Entry'!C7:X20,20,0),"")</f>
        <v>45230</v>
      </c>
      <c r="L11" s="115">
        <f>MONTH(K11)</f>
        <v>10</v>
      </c>
      <c r="M11" s="116">
        <f>IFERROR(VLOOKUP(B7,'Basic Data Entry'!C7:X20,16,0),"")</f>
        <v>71100</v>
      </c>
      <c r="N11" s="97">
        <f>IF(Q11="","",MONTH(Q11))</f>
        <v>4</v>
      </c>
      <c r="O11" s="242"/>
      <c r="P11" s="619">
        <f>IF(Q11="","",1)</f>
        <v>1</v>
      </c>
      <c r="Q11" s="620">
        <f>'Salary Arear Table'!U11</f>
        <v>45017</v>
      </c>
      <c r="R11" s="621">
        <f>'Salary Arear Table'!V11</f>
        <v>71100</v>
      </c>
      <c r="S11" s="622">
        <f>'Salary Arear Table'!W11</f>
        <v>29862</v>
      </c>
      <c r="T11" s="622">
        <f>'Salary Arear Table'!X11</f>
        <v>0</v>
      </c>
      <c r="U11" s="622">
        <f>'Salary Arear Table'!Y11</f>
        <v>6399</v>
      </c>
      <c r="V11" s="623">
        <f>'Salary Arear Table'!Z11</f>
        <v>107361</v>
      </c>
      <c r="W11" s="624">
        <f>'Salary Arear Table'!AA11</f>
        <v>69200</v>
      </c>
      <c r="X11" s="625">
        <f>'Salary Arear Table'!AB11</f>
        <v>29064</v>
      </c>
      <c r="Y11" s="625">
        <f>'Salary Arear Table'!AC11</f>
        <v>0</v>
      </c>
      <c r="Z11" s="625">
        <f>'Salary Arear Table'!AD11</f>
        <v>6228</v>
      </c>
      <c r="AA11" s="626">
        <f>'Salary Arear Table'!AE11</f>
        <v>104492</v>
      </c>
      <c r="AB11" s="624">
        <f>'Salary Arear Table'!AF11</f>
        <v>1900</v>
      </c>
      <c r="AC11" s="625">
        <f>'Salary Arear Table'!AG11</f>
        <v>798</v>
      </c>
      <c r="AD11" s="625">
        <f>'Salary Arear Table'!AH11</f>
        <v>0</v>
      </c>
      <c r="AE11" s="625">
        <f>'Salary Arear Table'!AI11</f>
        <v>0</v>
      </c>
      <c r="AF11" s="625">
        <f>'Salary Arear Table'!AJ11</f>
        <v>171</v>
      </c>
      <c r="AG11" s="627">
        <f>'Salary Arear Table'!AK11</f>
        <v>2869</v>
      </c>
      <c r="AH11" s="628">
        <f>'Salary Arear Table'!AL11</f>
        <v>8000</v>
      </c>
      <c r="AI11" s="625">
        <f>'Salary Arear Table'!AM11</f>
        <v>8000</v>
      </c>
      <c r="AJ11" s="627">
        <f>'Salary Arear Table'!AN11</f>
        <v>0</v>
      </c>
      <c r="AK11" s="628">
        <f>'Salary Arear Table'!AO11</f>
        <v>3000</v>
      </c>
      <c r="AL11" s="625">
        <f>'Salary Arear Table'!AP11</f>
        <v>3000</v>
      </c>
      <c r="AM11" s="627">
        <f>'Salary Arear Table'!AQ11</f>
        <v>0</v>
      </c>
      <c r="AN11" s="624">
        <f>'Salary Arear Table'!AR11</f>
        <v>875</v>
      </c>
      <c r="AO11" s="625">
        <f>'Salary Arear Table'!AS11</f>
        <v>875</v>
      </c>
      <c r="AP11" s="629">
        <f>'Salary Arear Table'!AT11</f>
        <v>0</v>
      </c>
      <c r="AQ11" s="630">
        <f>'Salary Arear Table'!AU11</f>
        <v>287</v>
      </c>
      <c r="AR11" s="631">
        <f>'Salary Arear Table'!AV11</f>
        <v>287</v>
      </c>
      <c r="AS11" s="632">
        <f>'Salary Arear Table'!AW11</f>
        <v>2582</v>
      </c>
      <c r="AT11" s="633">
        <f>'Salary Arear Table'!AX11</f>
        <v>0</v>
      </c>
      <c r="AU11" s="96"/>
    </row>
    <row r="12" spans="1:47" ht="26.25" hidden="1" customHeight="1">
      <c r="A12" s="242"/>
      <c r="B12" s="563"/>
      <c r="C12" s="242"/>
      <c r="D12" s="97"/>
      <c r="E12" s="97"/>
      <c r="F12" s="97"/>
      <c r="G12" s="97"/>
      <c r="H12" s="97"/>
      <c r="I12" s="97"/>
      <c r="J12" s="115">
        <f t="shared" si="0"/>
        <v>5</v>
      </c>
      <c r="K12" s="97"/>
      <c r="L12" s="97"/>
      <c r="M12" s="97">
        <f>IF(Q12="","",IF(J12=7,ROUND(M11*1.03,-2),IF(J11&lt;Q12,M11,"")))</f>
        <v>71100</v>
      </c>
      <c r="N12" s="97">
        <f>IF(Q12="","",MONTH(Q12))</f>
        <v>5</v>
      </c>
      <c r="O12" s="242"/>
      <c r="P12" s="634">
        <f>IF(Q12="","",P11+1)</f>
        <v>2</v>
      </c>
      <c r="Q12" s="635">
        <f>'Salary Arear Table'!U12</f>
        <v>45048</v>
      </c>
      <c r="R12" s="636">
        <f>'Salary Arear Table'!V12</f>
        <v>71100</v>
      </c>
      <c r="S12" s="637">
        <f>'Salary Arear Table'!W12</f>
        <v>29862</v>
      </c>
      <c r="T12" s="637">
        <f>'Salary Arear Table'!X12</f>
        <v>0</v>
      </c>
      <c r="U12" s="637">
        <f>'Salary Arear Table'!Y12</f>
        <v>6399</v>
      </c>
      <c r="V12" s="638">
        <f>'Salary Arear Table'!Z12</f>
        <v>107361</v>
      </c>
      <c r="W12" s="639">
        <f>'Salary Arear Table'!AA12</f>
        <v>69200</v>
      </c>
      <c r="X12" s="640">
        <f>'Salary Arear Table'!AB12</f>
        <v>29064</v>
      </c>
      <c r="Y12" s="641">
        <f>'Salary Arear Table'!AC12</f>
        <v>0</v>
      </c>
      <c r="Z12" s="640">
        <f>'Salary Arear Table'!AD12</f>
        <v>6228</v>
      </c>
      <c r="AA12" s="642">
        <f>'Salary Arear Table'!AE12</f>
        <v>104492</v>
      </c>
      <c r="AB12" s="643">
        <f>'Salary Arear Table'!AF12</f>
        <v>1900</v>
      </c>
      <c r="AC12" s="640">
        <f>'Salary Arear Table'!AG12</f>
        <v>798</v>
      </c>
      <c r="AD12" s="640">
        <f>'Salary Arear Table'!AH12</f>
        <v>0</v>
      </c>
      <c r="AE12" s="640">
        <f>'Salary Arear Table'!AI12</f>
        <v>0</v>
      </c>
      <c r="AF12" s="640">
        <f>'Salary Arear Table'!AJ12</f>
        <v>171</v>
      </c>
      <c r="AG12" s="644">
        <f>'Salary Arear Table'!AK12</f>
        <v>2869</v>
      </c>
      <c r="AH12" s="645">
        <f>'Salary Arear Table'!AL12</f>
        <v>8000</v>
      </c>
      <c r="AI12" s="646">
        <f>'Salary Arear Table'!AM12</f>
        <v>8000</v>
      </c>
      <c r="AJ12" s="647">
        <f>'Salary Arear Table'!AN12</f>
        <v>0</v>
      </c>
      <c r="AK12" s="646">
        <f>'Salary Arear Table'!AO12</f>
        <v>3000</v>
      </c>
      <c r="AL12" s="640">
        <f>'Salary Arear Table'!AP12</f>
        <v>3000</v>
      </c>
      <c r="AM12" s="647">
        <f>'Salary Arear Table'!AQ12</f>
        <v>0</v>
      </c>
      <c r="AN12" s="646">
        <f>'Salary Arear Table'!AR12</f>
        <v>875</v>
      </c>
      <c r="AO12" s="640">
        <f>'Salary Arear Table'!AS12</f>
        <v>875</v>
      </c>
      <c r="AP12" s="647">
        <f>'Salary Arear Table'!AT12</f>
        <v>0</v>
      </c>
      <c r="AQ12" s="648">
        <f>'Salary Arear Table'!AU12</f>
        <v>287</v>
      </c>
      <c r="AR12" s="649">
        <f>'Salary Arear Table'!AV12</f>
        <v>287</v>
      </c>
      <c r="AS12" s="650">
        <f>'Salary Arear Table'!AW12</f>
        <v>2582</v>
      </c>
      <c r="AT12" s="651">
        <f>'Salary Arear Table'!AX12</f>
        <v>0</v>
      </c>
      <c r="AU12" s="96"/>
    </row>
    <row r="13" spans="1:47" ht="26.25" hidden="1" customHeight="1">
      <c r="A13" s="242"/>
      <c r="B13" s="563"/>
      <c r="C13" s="242"/>
      <c r="D13" s="97"/>
      <c r="E13" s="97"/>
      <c r="F13" s="97"/>
      <c r="G13" s="97"/>
      <c r="H13" s="97"/>
      <c r="I13" s="97"/>
      <c r="J13" s="115">
        <f t="shared" si="0"/>
        <v>6</v>
      </c>
      <c r="K13" s="97"/>
      <c r="L13" s="97"/>
      <c r="M13" s="97">
        <f t="shared" ref="M13:M19" si="1">IF(Q13="","",IF(J13=7,ROUND(M12*1.03,-2),IF(J12&lt;Q13,M12,"")))</f>
        <v>71100</v>
      </c>
      <c r="N13" s="97">
        <f t="shared" ref="N13:N19" si="2">IF(Q13="","",MONTH(Q13))</f>
        <v>6</v>
      </c>
      <c r="O13" s="242"/>
      <c r="P13" s="634">
        <f t="shared" ref="P13:P20" si="3">IF(Q13="","",P12+1)</f>
        <v>3</v>
      </c>
      <c r="Q13" s="635">
        <f>'Salary Arear Table'!U13</f>
        <v>45079</v>
      </c>
      <c r="R13" s="636">
        <f>'Salary Arear Table'!V13</f>
        <v>71100</v>
      </c>
      <c r="S13" s="637">
        <f>'Salary Arear Table'!W13</f>
        <v>29862</v>
      </c>
      <c r="T13" s="637">
        <f>'Salary Arear Table'!X13</f>
        <v>0</v>
      </c>
      <c r="U13" s="637">
        <f>'Salary Arear Table'!Y13</f>
        <v>6399</v>
      </c>
      <c r="V13" s="638">
        <f>'Salary Arear Table'!Z13</f>
        <v>107361</v>
      </c>
      <c r="W13" s="639">
        <f>'Salary Arear Table'!AA13</f>
        <v>69200</v>
      </c>
      <c r="X13" s="652">
        <f>'Salary Arear Table'!AB13</f>
        <v>29064</v>
      </c>
      <c r="Y13" s="637">
        <f>'Salary Arear Table'!AC13</f>
        <v>0</v>
      </c>
      <c r="Z13" s="652">
        <f>'Salary Arear Table'!AD13</f>
        <v>6228</v>
      </c>
      <c r="AA13" s="638">
        <f>'Salary Arear Table'!AE13</f>
        <v>104492</v>
      </c>
      <c r="AB13" s="653">
        <f>'Salary Arear Table'!AF13</f>
        <v>1900</v>
      </c>
      <c r="AC13" s="652">
        <f>'Salary Arear Table'!AG13</f>
        <v>798</v>
      </c>
      <c r="AD13" s="652">
        <f>'Salary Arear Table'!AH13</f>
        <v>0</v>
      </c>
      <c r="AE13" s="652">
        <f>'Salary Arear Table'!AI13</f>
        <v>0</v>
      </c>
      <c r="AF13" s="652">
        <f>'Salary Arear Table'!AJ13</f>
        <v>171</v>
      </c>
      <c r="AG13" s="654">
        <f>'Salary Arear Table'!AK13</f>
        <v>2869</v>
      </c>
      <c r="AH13" s="655">
        <f>'Salary Arear Table'!AL13</f>
        <v>8000</v>
      </c>
      <c r="AI13" s="656">
        <f>'Salary Arear Table'!AM13</f>
        <v>8000</v>
      </c>
      <c r="AJ13" s="657">
        <f>'Salary Arear Table'!AN13</f>
        <v>0</v>
      </c>
      <c r="AK13" s="656">
        <f>'Salary Arear Table'!AO13</f>
        <v>3000</v>
      </c>
      <c r="AL13" s="652">
        <f>'Salary Arear Table'!AP13</f>
        <v>3000</v>
      </c>
      <c r="AM13" s="657">
        <f>'Salary Arear Table'!AQ13</f>
        <v>0</v>
      </c>
      <c r="AN13" s="653">
        <f>'Salary Arear Table'!AR13</f>
        <v>875</v>
      </c>
      <c r="AO13" s="652">
        <f>'Salary Arear Table'!AS13</f>
        <v>875</v>
      </c>
      <c r="AP13" s="658">
        <f>'Salary Arear Table'!AT13</f>
        <v>0</v>
      </c>
      <c r="AQ13" s="659">
        <f>'Salary Arear Table'!AU13</f>
        <v>287</v>
      </c>
      <c r="AR13" s="660">
        <f>'Salary Arear Table'!AV13</f>
        <v>287</v>
      </c>
      <c r="AS13" s="661">
        <f>'Salary Arear Table'!AW13</f>
        <v>2582</v>
      </c>
      <c r="AT13" s="651">
        <f>'Salary Arear Table'!AX13</f>
        <v>0</v>
      </c>
      <c r="AU13" s="96"/>
    </row>
    <row r="14" spans="1:47" ht="26.25" hidden="1" customHeight="1">
      <c r="A14" s="242"/>
      <c r="B14" s="563"/>
      <c r="C14" s="242"/>
      <c r="D14" s="97"/>
      <c r="E14" s="97"/>
      <c r="F14" s="97"/>
      <c r="G14" s="97"/>
      <c r="H14" s="97"/>
      <c r="I14" s="97"/>
      <c r="J14" s="115">
        <f t="shared" si="0"/>
        <v>7</v>
      </c>
      <c r="K14" s="97"/>
      <c r="L14" s="97"/>
      <c r="M14" s="97">
        <f t="shared" si="1"/>
        <v>73200</v>
      </c>
      <c r="N14" s="97">
        <f t="shared" si="2"/>
        <v>7</v>
      </c>
      <c r="O14" s="242"/>
      <c r="P14" s="662">
        <f t="shared" si="3"/>
        <v>4</v>
      </c>
      <c r="Q14" s="635">
        <f>'Salary Arear Table'!U14</f>
        <v>45110</v>
      </c>
      <c r="R14" s="636">
        <f>'Salary Arear Table'!V14</f>
        <v>73200</v>
      </c>
      <c r="S14" s="637">
        <f>'Salary Arear Table'!W14</f>
        <v>33672</v>
      </c>
      <c r="T14" s="637">
        <f>'Salary Arear Table'!X14</f>
        <v>0</v>
      </c>
      <c r="U14" s="637">
        <f>'Salary Arear Table'!Y14</f>
        <v>6588</v>
      </c>
      <c r="V14" s="638">
        <f>'Salary Arear Table'!Z14</f>
        <v>113460</v>
      </c>
      <c r="W14" s="639">
        <f>'Salary Arear Table'!AA14</f>
        <v>71300</v>
      </c>
      <c r="X14" s="652">
        <f>'Salary Arear Table'!AB14</f>
        <v>32798</v>
      </c>
      <c r="Y14" s="637">
        <f>'Salary Arear Table'!AC14</f>
        <v>0</v>
      </c>
      <c r="Z14" s="652">
        <f>'Salary Arear Table'!AD14</f>
        <v>6417</v>
      </c>
      <c r="AA14" s="638">
        <f>'Salary Arear Table'!AE14</f>
        <v>110515</v>
      </c>
      <c r="AB14" s="653">
        <f>'Salary Arear Table'!AF14</f>
        <v>1900</v>
      </c>
      <c r="AC14" s="652">
        <f>'Salary Arear Table'!AG14</f>
        <v>874</v>
      </c>
      <c r="AD14" s="652">
        <f>'Salary Arear Table'!AH14</f>
        <v>2928</v>
      </c>
      <c r="AE14" s="652">
        <f>'Salary Arear Table'!AI14</f>
        <v>0</v>
      </c>
      <c r="AF14" s="652">
        <f>'Salary Arear Table'!AJ14</f>
        <v>171</v>
      </c>
      <c r="AG14" s="654">
        <f>'Salary Arear Table'!AK14</f>
        <v>2945</v>
      </c>
      <c r="AH14" s="655">
        <f>'Salary Arear Table'!AL14</f>
        <v>10928</v>
      </c>
      <c r="AI14" s="656">
        <f>'Salary Arear Table'!AM14</f>
        <v>10852</v>
      </c>
      <c r="AJ14" s="657">
        <f>'Salary Arear Table'!AN14</f>
        <v>76</v>
      </c>
      <c r="AK14" s="656">
        <f>'Salary Arear Table'!AO14</f>
        <v>3000</v>
      </c>
      <c r="AL14" s="652">
        <f>'Salary Arear Table'!AP14</f>
        <v>3000</v>
      </c>
      <c r="AM14" s="657">
        <f>'Salary Arear Table'!AQ14</f>
        <v>0</v>
      </c>
      <c r="AN14" s="653">
        <f>'Salary Arear Table'!AR14</f>
        <v>875</v>
      </c>
      <c r="AO14" s="652">
        <f>'Salary Arear Table'!AS14</f>
        <v>875</v>
      </c>
      <c r="AP14" s="658">
        <f>'Salary Arear Table'!AT14</f>
        <v>0</v>
      </c>
      <c r="AQ14" s="659">
        <f>'Salary Arear Table'!AU14</f>
        <v>295</v>
      </c>
      <c r="AR14" s="660">
        <f>'Salary Arear Table'!AV14</f>
        <v>371</v>
      </c>
      <c r="AS14" s="661">
        <f>'Salary Arear Table'!AW14</f>
        <v>2574</v>
      </c>
      <c r="AT14" s="651">
        <f>'Salary Arear Table'!AX14</f>
        <v>0</v>
      </c>
      <c r="AU14" s="96"/>
    </row>
    <row r="15" spans="1:47" ht="26.25" hidden="1" customHeight="1">
      <c r="A15" s="242"/>
      <c r="B15" s="563"/>
      <c r="C15" s="242"/>
      <c r="D15" s="97"/>
      <c r="E15" s="97"/>
      <c r="F15" s="97"/>
      <c r="G15" s="97"/>
      <c r="H15" s="97"/>
      <c r="I15" s="97"/>
      <c r="J15" s="115">
        <f t="shared" si="0"/>
        <v>8</v>
      </c>
      <c r="K15" s="97"/>
      <c r="L15" s="97"/>
      <c r="M15" s="97">
        <f t="shared" si="1"/>
        <v>73200</v>
      </c>
      <c r="N15" s="97">
        <f t="shared" si="2"/>
        <v>8</v>
      </c>
      <c r="O15" s="242"/>
      <c r="P15" s="663">
        <f t="shared" si="3"/>
        <v>5</v>
      </c>
      <c r="Q15" s="635">
        <f>'Salary Arear Table'!U15</f>
        <v>45141</v>
      </c>
      <c r="R15" s="636">
        <f>'Salary Arear Table'!V15</f>
        <v>73200</v>
      </c>
      <c r="S15" s="637">
        <f>'Salary Arear Table'!W15</f>
        <v>33672</v>
      </c>
      <c r="T15" s="637">
        <f>'Salary Arear Table'!X15</f>
        <v>0</v>
      </c>
      <c r="U15" s="637">
        <f>'Salary Arear Table'!Y15</f>
        <v>6588</v>
      </c>
      <c r="V15" s="638">
        <f>'Salary Arear Table'!Z15</f>
        <v>113460</v>
      </c>
      <c r="W15" s="639">
        <f>'Salary Arear Table'!AA15</f>
        <v>71300</v>
      </c>
      <c r="X15" s="652">
        <f>'Salary Arear Table'!AB15</f>
        <v>32798</v>
      </c>
      <c r="Y15" s="637">
        <f>'Salary Arear Table'!AC15</f>
        <v>0</v>
      </c>
      <c r="Z15" s="652">
        <f>'Salary Arear Table'!AD15</f>
        <v>6417</v>
      </c>
      <c r="AA15" s="638">
        <f>'Salary Arear Table'!AE15</f>
        <v>110515</v>
      </c>
      <c r="AB15" s="653">
        <f>'Salary Arear Table'!AF15</f>
        <v>1900</v>
      </c>
      <c r="AC15" s="652">
        <f>'Salary Arear Table'!AG15</f>
        <v>874</v>
      </c>
      <c r="AD15" s="652">
        <f>'Salary Arear Table'!AH15</f>
        <v>2928</v>
      </c>
      <c r="AE15" s="652">
        <f>'Salary Arear Table'!AI15</f>
        <v>0</v>
      </c>
      <c r="AF15" s="652">
        <f>'Salary Arear Table'!AJ15</f>
        <v>171</v>
      </c>
      <c r="AG15" s="654">
        <f>'Salary Arear Table'!AK15</f>
        <v>2945</v>
      </c>
      <c r="AH15" s="655">
        <f>'Salary Arear Table'!AL15</f>
        <v>10928</v>
      </c>
      <c r="AI15" s="656">
        <f>'Salary Arear Table'!AM15</f>
        <v>10852</v>
      </c>
      <c r="AJ15" s="657">
        <f>'Salary Arear Table'!AN15</f>
        <v>76</v>
      </c>
      <c r="AK15" s="656">
        <f>'Salary Arear Table'!AO15</f>
        <v>3000</v>
      </c>
      <c r="AL15" s="652">
        <f>'Salary Arear Table'!AP15</f>
        <v>3000</v>
      </c>
      <c r="AM15" s="657">
        <f>'Salary Arear Table'!AQ15</f>
        <v>0</v>
      </c>
      <c r="AN15" s="653">
        <f>'Salary Arear Table'!AR15</f>
        <v>875</v>
      </c>
      <c r="AO15" s="652">
        <f>'Salary Arear Table'!AS15</f>
        <v>875</v>
      </c>
      <c r="AP15" s="658">
        <f>'Salary Arear Table'!AT15</f>
        <v>0</v>
      </c>
      <c r="AQ15" s="659">
        <f>'Salary Arear Table'!AU15</f>
        <v>295</v>
      </c>
      <c r="AR15" s="660">
        <f>'Salary Arear Table'!AV15</f>
        <v>371</v>
      </c>
      <c r="AS15" s="661">
        <f>'Salary Arear Table'!AW15</f>
        <v>2574</v>
      </c>
      <c r="AT15" s="651">
        <f>'Salary Arear Table'!AX15</f>
        <v>0</v>
      </c>
      <c r="AU15" s="96"/>
    </row>
    <row r="16" spans="1:47" ht="26.25" hidden="1" customHeight="1">
      <c r="A16" s="242"/>
      <c r="B16" s="563"/>
      <c r="C16" s="242"/>
      <c r="D16" s="97"/>
      <c r="E16" s="97"/>
      <c r="F16" s="97"/>
      <c r="G16" s="97"/>
      <c r="H16" s="97"/>
      <c r="I16" s="97"/>
      <c r="J16" s="115">
        <f t="shared" si="0"/>
        <v>9</v>
      </c>
      <c r="K16" s="97"/>
      <c r="L16" s="97"/>
      <c r="M16" s="97">
        <f t="shared" si="1"/>
        <v>73200</v>
      </c>
      <c r="N16" s="97">
        <f t="shared" si="2"/>
        <v>9</v>
      </c>
      <c r="O16" s="242"/>
      <c r="P16" s="634">
        <f t="shared" si="3"/>
        <v>6</v>
      </c>
      <c r="Q16" s="635">
        <f>'Salary Arear Table'!U16</f>
        <v>45172</v>
      </c>
      <c r="R16" s="636">
        <f>'Salary Arear Table'!V16</f>
        <v>73200</v>
      </c>
      <c r="S16" s="637">
        <f>'Salary Arear Table'!W16</f>
        <v>33672</v>
      </c>
      <c r="T16" s="637">
        <f>'Salary Arear Table'!X16</f>
        <v>0</v>
      </c>
      <c r="U16" s="637">
        <f>'Salary Arear Table'!Y16</f>
        <v>6588</v>
      </c>
      <c r="V16" s="638">
        <f>'Salary Arear Table'!Z16</f>
        <v>113460</v>
      </c>
      <c r="W16" s="639">
        <f>'Salary Arear Table'!AA16</f>
        <v>71300</v>
      </c>
      <c r="X16" s="652">
        <f>'Salary Arear Table'!AB16</f>
        <v>32798</v>
      </c>
      <c r="Y16" s="637">
        <f>'Salary Arear Table'!AC16</f>
        <v>0</v>
      </c>
      <c r="Z16" s="652">
        <f>'Salary Arear Table'!AD16</f>
        <v>6417</v>
      </c>
      <c r="AA16" s="638">
        <f>'Salary Arear Table'!AE16</f>
        <v>110515</v>
      </c>
      <c r="AB16" s="653">
        <f>'Salary Arear Table'!AF16</f>
        <v>1900</v>
      </c>
      <c r="AC16" s="652">
        <f>'Salary Arear Table'!AG16</f>
        <v>874</v>
      </c>
      <c r="AD16" s="652">
        <f>'Salary Arear Table'!AH16</f>
        <v>2928</v>
      </c>
      <c r="AE16" s="652">
        <f>'Salary Arear Table'!AI16</f>
        <v>0</v>
      </c>
      <c r="AF16" s="652">
        <f>'Salary Arear Table'!AJ16</f>
        <v>171</v>
      </c>
      <c r="AG16" s="654">
        <f>'Salary Arear Table'!AK16</f>
        <v>2945</v>
      </c>
      <c r="AH16" s="655">
        <f>'Salary Arear Table'!AL16</f>
        <v>10928</v>
      </c>
      <c r="AI16" s="656">
        <f>'Salary Arear Table'!AM16</f>
        <v>10852</v>
      </c>
      <c r="AJ16" s="657">
        <f>'Salary Arear Table'!AN16</f>
        <v>76</v>
      </c>
      <c r="AK16" s="656">
        <f>'Salary Arear Table'!AO16</f>
        <v>3000</v>
      </c>
      <c r="AL16" s="652">
        <f>'Salary Arear Table'!AP16</f>
        <v>3000</v>
      </c>
      <c r="AM16" s="657">
        <f>'Salary Arear Table'!AQ16</f>
        <v>0</v>
      </c>
      <c r="AN16" s="653">
        <f>'Salary Arear Table'!AR16</f>
        <v>875</v>
      </c>
      <c r="AO16" s="652">
        <f>'Salary Arear Table'!AS16</f>
        <v>875</v>
      </c>
      <c r="AP16" s="658">
        <f>'Salary Arear Table'!AT16</f>
        <v>0</v>
      </c>
      <c r="AQ16" s="659">
        <f>'Salary Arear Table'!AU16</f>
        <v>295</v>
      </c>
      <c r="AR16" s="660">
        <f>'Salary Arear Table'!AV16</f>
        <v>371</v>
      </c>
      <c r="AS16" s="661">
        <f>'Salary Arear Table'!AW16</f>
        <v>2574</v>
      </c>
      <c r="AT16" s="651">
        <f>'Salary Arear Table'!AX16</f>
        <v>0</v>
      </c>
      <c r="AU16" s="96"/>
    </row>
    <row r="17" spans="1:47" ht="26.25" hidden="1" customHeight="1">
      <c r="A17" s="242"/>
      <c r="B17" s="563"/>
      <c r="C17" s="242"/>
      <c r="D17" s="97"/>
      <c r="E17" s="97"/>
      <c r="F17" s="97"/>
      <c r="G17" s="97"/>
      <c r="H17" s="97"/>
      <c r="I17" s="97"/>
      <c r="J17" s="115">
        <f t="shared" si="0"/>
        <v>10</v>
      </c>
      <c r="K17" s="97"/>
      <c r="L17" s="97"/>
      <c r="M17" s="97">
        <f t="shared" si="1"/>
        <v>73200</v>
      </c>
      <c r="N17" s="97">
        <f t="shared" si="2"/>
        <v>10</v>
      </c>
      <c r="O17" s="242"/>
      <c r="P17" s="634">
        <f t="shared" si="3"/>
        <v>7</v>
      </c>
      <c r="Q17" s="635">
        <f>'Salary Arear Table'!U17</f>
        <v>45203</v>
      </c>
      <c r="R17" s="636">
        <f>'Salary Arear Table'!V17</f>
        <v>73200</v>
      </c>
      <c r="S17" s="637">
        <f>'Salary Arear Table'!W17</f>
        <v>33672</v>
      </c>
      <c r="T17" s="637">
        <f>'Salary Arear Table'!X17</f>
        <v>0</v>
      </c>
      <c r="U17" s="637">
        <f>'Salary Arear Table'!Y17</f>
        <v>6588</v>
      </c>
      <c r="V17" s="638">
        <f>'Salary Arear Table'!Z17</f>
        <v>113460</v>
      </c>
      <c r="W17" s="639">
        <f>'Salary Arear Table'!AA17</f>
        <v>71300</v>
      </c>
      <c r="X17" s="652">
        <f>'Salary Arear Table'!AB17</f>
        <v>32798</v>
      </c>
      <c r="Y17" s="637">
        <f>'Salary Arear Table'!AC17</f>
        <v>0</v>
      </c>
      <c r="Z17" s="652">
        <f>'Salary Arear Table'!AD17</f>
        <v>6417</v>
      </c>
      <c r="AA17" s="638">
        <f>'Salary Arear Table'!AE17</f>
        <v>110515</v>
      </c>
      <c r="AB17" s="653">
        <f>'Salary Arear Table'!AF17</f>
        <v>1900</v>
      </c>
      <c r="AC17" s="652">
        <f>'Salary Arear Table'!AG17</f>
        <v>874</v>
      </c>
      <c r="AD17" s="652">
        <f>'Salary Arear Table'!AH17</f>
        <v>2928</v>
      </c>
      <c r="AE17" s="652">
        <f>'Salary Arear Table'!AI17</f>
        <v>0</v>
      </c>
      <c r="AF17" s="652">
        <f>'Salary Arear Table'!AJ17</f>
        <v>171</v>
      </c>
      <c r="AG17" s="654">
        <f>'Salary Arear Table'!AK17</f>
        <v>2945</v>
      </c>
      <c r="AH17" s="655">
        <f>'Salary Arear Table'!AL17</f>
        <v>10928</v>
      </c>
      <c r="AI17" s="656">
        <f>'Salary Arear Table'!AM17</f>
        <v>10852</v>
      </c>
      <c r="AJ17" s="657">
        <f>'Salary Arear Table'!AN17</f>
        <v>76</v>
      </c>
      <c r="AK17" s="656">
        <f>'Salary Arear Table'!AO17</f>
        <v>3000</v>
      </c>
      <c r="AL17" s="652">
        <f>'Salary Arear Table'!AP17</f>
        <v>3000</v>
      </c>
      <c r="AM17" s="657">
        <f>'Salary Arear Table'!AQ17</f>
        <v>0</v>
      </c>
      <c r="AN17" s="653">
        <f>'Salary Arear Table'!AR17</f>
        <v>875</v>
      </c>
      <c r="AO17" s="652">
        <f>'Salary Arear Table'!AS17</f>
        <v>875</v>
      </c>
      <c r="AP17" s="658">
        <f>'Salary Arear Table'!AT17</f>
        <v>0</v>
      </c>
      <c r="AQ17" s="659">
        <f>'Salary Arear Table'!AU17</f>
        <v>295</v>
      </c>
      <c r="AR17" s="660">
        <f>'Salary Arear Table'!AV17</f>
        <v>371</v>
      </c>
      <c r="AS17" s="661">
        <f>'Salary Arear Table'!AW17</f>
        <v>2574</v>
      </c>
      <c r="AT17" s="651">
        <f>'Salary Arear Table'!AX17</f>
        <v>0</v>
      </c>
      <c r="AU17" s="96"/>
    </row>
    <row r="18" spans="1:47" ht="26.25" hidden="1" customHeight="1">
      <c r="A18" s="242"/>
      <c r="B18" s="563"/>
      <c r="C18" s="242"/>
      <c r="D18" s="97"/>
      <c r="E18" s="97"/>
      <c r="F18" s="97"/>
      <c r="G18" s="97"/>
      <c r="H18" s="97"/>
      <c r="I18" s="97"/>
      <c r="J18" s="115">
        <f t="shared" si="0"/>
        <v>11</v>
      </c>
      <c r="K18" s="97"/>
      <c r="L18" s="97"/>
      <c r="M18" s="97">
        <f t="shared" si="1"/>
        <v>73200</v>
      </c>
      <c r="N18" s="97">
        <f t="shared" si="2"/>
        <v>11</v>
      </c>
      <c r="O18" s="242"/>
      <c r="P18" s="634">
        <f t="shared" si="3"/>
        <v>8</v>
      </c>
      <c r="Q18" s="635">
        <f>'Salary Arear Table'!U18</f>
        <v>45234</v>
      </c>
      <c r="R18" s="636">
        <f>'Salary Arear Table'!V18</f>
        <v>73200</v>
      </c>
      <c r="S18" s="637">
        <f>'Salary Arear Table'!W18</f>
        <v>33672</v>
      </c>
      <c r="T18" s="637">
        <f>'Salary Arear Table'!X18</f>
        <v>0</v>
      </c>
      <c r="U18" s="637">
        <f>'Salary Arear Table'!Y18</f>
        <v>6588</v>
      </c>
      <c r="V18" s="638">
        <f>'Salary Arear Table'!Z18</f>
        <v>113460</v>
      </c>
      <c r="W18" s="639">
        <f>'Salary Arear Table'!AA18</f>
        <v>71300</v>
      </c>
      <c r="X18" s="652">
        <f>'Salary Arear Table'!AB18</f>
        <v>32798</v>
      </c>
      <c r="Y18" s="637">
        <f>'Salary Arear Table'!AC18</f>
        <v>0</v>
      </c>
      <c r="Z18" s="652">
        <f>'Salary Arear Table'!AD18</f>
        <v>6417</v>
      </c>
      <c r="AA18" s="638">
        <f>'Salary Arear Table'!AE18</f>
        <v>110515</v>
      </c>
      <c r="AB18" s="653">
        <f>'Salary Arear Table'!AF18</f>
        <v>1900</v>
      </c>
      <c r="AC18" s="652">
        <f>'Salary Arear Table'!AG18</f>
        <v>874</v>
      </c>
      <c r="AD18" s="652">
        <f>'Salary Arear Table'!AH18</f>
        <v>0</v>
      </c>
      <c r="AE18" s="652">
        <f>'Salary Arear Table'!AI18</f>
        <v>0</v>
      </c>
      <c r="AF18" s="652">
        <f>'Salary Arear Table'!AJ18</f>
        <v>171</v>
      </c>
      <c r="AG18" s="654">
        <f>'Salary Arear Table'!AK18</f>
        <v>2945</v>
      </c>
      <c r="AH18" s="655">
        <f>'Salary Arear Table'!AL18</f>
        <v>8000</v>
      </c>
      <c r="AI18" s="656">
        <f>'Salary Arear Table'!AM18</f>
        <v>8000</v>
      </c>
      <c r="AJ18" s="657">
        <f>'Salary Arear Table'!AN18</f>
        <v>0</v>
      </c>
      <c r="AK18" s="656">
        <f>'Salary Arear Table'!AO18</f>
        <v>3000</v>
      </c>
      <c r="AL18" s="652">
        <f>'Salary Arear Table'!AP18</f>
        <v>3000</v>
      </c>
      <c r="AM18" s="657">
        <f>'Salary Arear Table'!AQ18</f>
        <v>0</v>
      </c>
      <c r="AN18" s="653">
        <f>'Salary Arear Table'!AR18</f>
        <v>875</v>
      </c>
      <c r="AO18" s="652">
        <f>'Salary Arear Table'!AS18</f>
        <v>875</v>
      </c>
      <c r="AP18" s="658">
        <f>'Salary Arear Table'!AT18</f>
        <v>0</v>
      </c>
      <c r="AQ18" s="659">
        <f>'Salary Arear Table'!AU18</f>
        <v>295</v>
      </c>
      <c r="AR18" s="660">
        <f>'Salary Arear Table'!AV18</f>
        <v>295</v>
      </c>
      <c r="AS18" s="661">
        <f>'Salary Arear Table'!AW18</f>
        <v>2650</v>
      </c>
      <c r="AT18" s="651">
        <f>'Salary Arear Table'!AX18</f>
        <v>0</v>
      </c>
      <c r="AU18" s="96"/>
    </row>
    <row r="19" spans="1:47" ht="26.25" hidden="1" customHeight="1">
      <c r="A19" s="242"/>
      <c r="B19" s="563"/>
      <c r="C19" s="242"/>
      <c r="D19" s="97"/>
      <c r="E19" s="97"/>
      <c r="F19" s="97"/>
      <c r="G19" s="97"/>
      <c r="H19" s="97"/>
      <c r="I19" s="97"/>
      <c r="J19" s="115">
        <f t="shared" si="0"/>
        <v>12</v>
      </c>
      <c r="K19" s="97"/>
      <c r="L19" s="97"/>
      <c r="M19" s="97">
        <f t="shared" si="1"/>
        <v>73200</v>
      </c>
      <c r="N19" s="97">
        <f t="shared" si="2"/>
        <v>12</v>
      </c>
      <c r="O19" s="242"/>
      <c r="P19" s="634">
        <f t="shared" si="3"/>
        <v>9</v>
      </c>
      <c r="Q19" s="664">
        <f>'Salary Arear Table'!U19</f>
        <v>45265</v>
      </c>
      <c r="R19" s="656">
        <f>'Salary Arear Table'!V19</f>
        <v>73200</v>
      </c>
      <c r="S19" s="652">
        <f>'Salary Arear Table'!W19</f>
        <v>33672</v>
      </c>
      <c r="T19" s="652">
        <f>'Salary Arear Table'!X19</f>
        <v>0</v>
      </c>
      <c r="U19" s="652">
        <f>'Salary Arear Table'!Y19</f>
        <v>6588</v>
      </c>
      <c r="V19" s="665">
        <f>'Salary Arear Table'!Z19</f>
        <v>113460</v>
      </c>
      <c r="W19" s="653">
        <f>'Salary Arear Table'!AA19</f>
        <v>71300</v>
      </c>
      <c r="X19" s="652">
        <f>'Salary Arear Table'!AB19</f>
        <v>32798</v>
      </c>
      <c r="Y19" s="652">
        <f>'Salary Arear Table'!AC19</f>
        <v>0</v>
      </c>
      <c r="Z19" s="652">
        <f>'Salary Arear Table'!AD19</f>
        <v>6417</v>
      </c>
      <c r="AA19" s="665">
        <f>'Salary Arear Table'!AE19</f>
        <v>110515</v>
      </c>
      <c r="AB19" s="653">
        <f>'Salary Arear Table'!AF19</f>
        <v>1900</v>
      </c>
      <c r="AC19" s="652">
        <f>'Salary Arear Table'!AG19</f>
        <v>874</v>
      </c>
      <c r="AD19" s="652">
        <f>'Salary Arear Table'!AH19</f>
        <v>0</v>
      </c>
      <c r="AE19" s="652">
        <f>'Salary Arear Table'!AI19</f>
        <v>0</v>
      </c>
      <c r="AF19" s="652">
        <f>'Salary Arear Table'!AJ19</f>
        <v>171</v>
      </c>
      <c r="AG19" s="654">
        <f>'Salary Arear Table'!AK19</f>
        <v>2945</v>
      </c>
      <c r="AH19" s="666">
        <f>'Salary Arear Table'!AL19</f>
        <v>8000</v>
      </c>
      <c r="AI19" s="656">
        <f>'Salary Arear Table'!AM19</f>
        <v>8000</v>
      </c>
      <c r="AJ19" s="657">
        <f>'Salary Arear Table'!AN19</f>
        <v>0</v>
      </c>
      <c r="AK19" s="656">
        <f>'Salary Arear Table'!AO19</f>
        <v>3000</v>
      </c>
      <c r="AL19" s="652">
        <f>'Salary Arear Table'!AP19</f>
        <v>3000</v>
      </c>
      <c r="AM19" s="657">
        <f>'Salary Arear Table'!AQ19</f>
        <v>0</v>
      </c>
      <c r="AN19" s="653">
        <f>'Salary Arear Table'!AR19</f>
        <v>875</v>
      </c>
      <c r="AO19" s="652">
        <f>'Salary Arear Table'!AS19</f>
        <v>875</v>
      </c>
      <c r="AP19" s="658">
        <f>'Salary Arear Table'!AT19</f>
        <v>0</v>
      </c>
      <c r="AQ19" s="667">
        <f>'Salary Arear Table'!AU19</f>
        <v>295</v>
      </c>
      <c r="AR19" s="668">
        <f>'Salary Arear Table'!AV19</f>
        <v>295</v>
      </c>
      <c r="AS19" s="661">
        <f>'Salary Arear Table'!AW19</f>
        <v>2650</v>
      </c>
      <c r="AT19" s="669">
        <f>'Salary Arear Table'!AX19</f>
        <v>0</v>
      </c>
      <c r="AU19" s="96"/>
    </row>
    <row r="20" spans="1:47" ht="50.25" customHeight="1" thickBot="1">
      <c r="A20" s="242"/>
      <c r="B20" s="563"/>
      <c r="C20" s="242"/>
      <c r="D20" s="97"/>
      <c r="E20" s="97"/>
      <c r="F20" s="97"/>
      <c r="G20" s="97"/>
      <c r="H20" s="97"/>
      <c r="I20" s="97"/>
      <c r="J20" s="116">
        <f>IF(L20="","",MONTH(L20))</f>
        <v>1</v>
      </c>
      <c r="K20" s="97"/>
      <c r="L20" s="170">
        <f>IFERROR(VLOOKUP(B7,'Basic Data Entry'!C7:Y21,23,0),"")</f>
        <v>0</v>
      </c>
      <c r="M20" s="97" t="str">
        <f>IF($J$20=N11,R11/2,IF($J$20=N12,R12/2,IF($J$20=N13,R13/2,IF($J$20=N14,R14/2,IF($J$20=N15,R15/2,IF($J$20=N16,R16/2,IF($J$20=N17,R17/2,IF($J$20=N18,R18/2,IF($J$20=N19,R19/2,"")))))))))</f>
        <v/>
      </c>
      <c r="N20" s="97" t="str">
        <f>IF($J$20=N11,W11/2,IF($J$20=N12,W12/2,IF($J$20=N13,W13/2,IF($J$20=N14,W14/2,IF($J$20=N15,W15/2,IF($J$20=N16,W16/2,IF($J$20=N17,W17/2,IF($J$20=N18,W18/2,IF($J$20=N19,W19/2,"")))))))))</f>
        <v/>
      </c>
      <c r="O20" s="242"/>
      <c r="P20" s="681">
        <v>1</v>
      </c>
      <c r="Q20" s="682" t="str">
        <f>IF(L20=0,"",L20)</f>
        <v/>
      </c>
      <c r="R20" s="683" t="str">
        <f>IF(M20="","",M20)</f>
        <v/>
      </c>
      <c r="S20" s="684" t="str">
        <f>IF(OR(L20=0,L20=""),"",IF(J20&gt;=7,ROUND(R20*0.46,0),ROUND(R20*0.42,0)))</f>
        <v/>
      </c>
      <c r="T20" s="684" t="str">
        <f>IF(M20="","",T19)</f>
        <v/>
      </c>
      <c r="U20" s="684" t="str">
        <f>IF(M20="","",0)</f>
        <v/>
      </c>
      <c r="V20" s="685" t="str">
        <f>IF(OR(L20=0,L20=""),"",SUM(R20:U20))</f>
        <v/>
      </c>
      <c r="W20" s="686" t="str">
        <f>IF(M20="","",N20)</f>
        <v/>
      </c>
      <c r="X20" s="684" t="str">
        <f>IF(OR(L20=0,L20=""),"",IF(J20&gt;=7,ROUND(W20*0.46,0),ROUND(W20*0.42,0)))</f>
        <v/>
      </c>
      <c r="Y20" s="684" t="str">
        <f>IF(M20="","",0)</f>
        <v/>
      </c>
      <c r="Z20" s="684" t="str">
        <f>IF(M20="","",0)</f>
        <v/>
      </c>
      <c r="AA20" s="685" t="str">
        <f>IF(OR(L20=0,L20=""),"",SUM(W20:Z20))</f>
        <v/>
      </c>
      <c r="AB20" s="686" t="str">
        <f>IF(OR(L20=0,L20=""),"",R20-W20)</f>
        <v/>
      </c>
      <c r="AC20" s="684" t="str">
        <f>IF(OR(L20=0,L20=""),"",S20-X20)</f>
        <v/>
      </c>
      <c r="AD20" s="684">
        <v>0</v>
      </c>
      <c r="AE20" s="684" t="str">
        <f>IF(OR(L20=0,L20=""),"",T20-Y20)</f>
        <v/>
      </c>
      <c r="AF20" s="684" t="str">
        <f>IF(OR(L20=0,L20=""),"",U20-Z20)</f>
        <v/>
      </c>
      <c r="AG20" s="687" t="str">
        <f>IF(OR(L20=0,L20=""),"",SUM(AB20,AC20,AF20))</f>
        <v/>
      </c>
      <c r="AH20" s="688" t="str">
        <f>IF(OR(J20=7,J20=8,J20=9,J20=10),AI20+AG20,AI20)</f>
        <v/>
      </c>
      <c r="AI20" s="683" t="str">
        <f>IF(OR(J20=0,J20=""),"",IF(AND(J20&gt;=7,J20&lt;=10),ROUND(W20*0.04,0),""))</f>
        <v/>
      </c>
      <c r="AJ20" s="689" t="str">
        <f>IF(OR(AH20="",AI20="",P20=0,P20=""),"",SUM(AH20-AI20))</f>
        <v/>
      </c>
      <c r="AK20" s="683" t="str">
        <f>IF(M20="","",0)</f>
        <v/>
      </c>
      <c r="AL20" s="684" t="str">
        <f>IF(M20="","",0)</f>
        <v/>
      </c>
      <c r="AM20" s="689" t="str">
        <f t="array" ref="AM20">IF(OR(Q20=0,Q20=""),"",SUM(AK20-AL20))</f>
        <v/>
      </c>
      <c r="AN20" s="686" t="str">
        <f>IF(M20="","",0)</f>
        <v/>
      </c>
      <c r="AO20" s="684" t="str">
        <f>IF(M20="","",0)</f>
        <v/>
      </c>
      <c r="AP20" s="690" t="str">
        <f>IF(M20="","",0)</f>
        <v/>
      </c>
      <c r="AQ20" s="691" t="str">
        <f>IF(M20="","",0)</f>
        <v/>
      </c>
      <c r="AR20" s="692" t="str">
        <f>IF(OR(L20=0,L20=""),"",SUM(AJ20,AM20,AP20,AQ20))</f>
        <v/>
      </c>
      <c r="AS20" s="693" t="str">
        <f>IF(Q20="","",SUM(AG20-AR20))</f>
        <v/>
      </c>
      <c r="AT20" s="694"/>
      <c r="AU20" s="96"/>
    </row>
    <row r="21" spans="1:47" ht="68.25" customHeight="1" thickBot="1">
      <c r="A21" s="242"/>
      <c r="B21" s="563"/>
      <c r="C21" s="242"/>
      <c r="D21" s="97"/>
      <c r="E21" s="97"/>
      <c r="F21" s="97"/>
      <c r="G21" s="97"/>
      <c r="H21" s="97"/>
      <c r="I21" s="97"/>
      <c r="J21" s="97"/>
      <c r="K21" s="97"/>
      <c r="L21" s="97"/>
      <c r="M21" s="97"/>
      <c r="N21" s="97"/>
      <c r="O21" s="242"/>
      <c r="P21" s="670" t="s">
        <v>16</v>
      </c>
      <c r="Q21" s="671"/>
      <c r="R21" s="672" t="str">
        <f>R20</f>
        <v/>
      </c>
      <c r="S21" s="672" t="str">
        <f t="shared" ref="S21" si="4">S20</f>
        <v/>
      </c>
      <c r="T21" s="672" t="str">
        <f t="shared" ref="T13:AI21" si="5">T20</f>
        <v/>
      </c>
      <c r="U21" s="672" t="str">
        <f t="shared" si="5"/>
        <v/>
      </c>
      <c r="V21" s="673" t="str">
        <f t="shared" si="5"/>
        <v/>
      </c>
      <c r="W21" s="674" t="str">
        <f t="shared" si="5"/>
        <v/>
      </c>
      <c r="X21" s="672" t="str">
        <f t="shared" si="5"/>
        <v/>
      </c>
      <c r="Y21" s="672" t="str">
        <f t="shared" si="5"/>
        <v/>
      </c>
      <c r="Z21" s="672" t="str">
        <f t="shared" si="5"/>
        <v/>
      </c>
      <c r="AA21" s="673" t="str">
        <f t="shared" si="5"/>
        <v/>
      </c>
      <c r="AB21" s="674" t="str">
        <f t="shared" si="5"/>
        <v/>
      </c>
      <c r="AC21" s="672" t="str">
        <f t="shared" si="5"/>
        <v/>
      </c>
      <c r="AD21" s="672">
        <f t="shared" si="5"/>
        <v>0</v>
      </c>
      <c r="AE21" s="672" t="str">
        <f t="shared" si="5"/>
        <v/>
      </c>
      <c r="AF21" s="672" t="str">
        <f t="shared" si="5"/>
        <v/>
      </c>
      <c r="AG21" s="673" t="str">
        <f t="shared" si="5"/>
        <v/>
      </c>
      <c r="AH21" s="674" t="str">
        <f t="shared" si="5"/>
        <v/>
      </c>
      <c r="AI21" s="672" t="str">
        <f t="shared" si="5"/>
        <v/>
      </c>
      <c r="AJ21" s="673" t="str">
        <f t="shared" ref="AJ21:AS21" si="6">AJ20</f>
        <v/>
      </c>
      <c r="AK21" s="674" t="str">
        <f t="shared" si="6"/>
        <v/>
      </c>
      <c r="AL21" s="672" t="str">
        <f t="shared" si="6"/>
        <v/>
      </c>
      <c r="AM21" s="673" t="str">
        <f t="shared" si="6"/>
        <v/>
      </c>
      <c r="AN21" s="675" t="str">
        <f t="shared" si="6"/>
        <v/>
      </c>
      <c r="AO21" s="675" t="str">
        <f t="shared" si="6"/>
        <v/>
      </c>
      <c r="AP21" s="676" t="str">
        <f t="shared" si="6"/>
        <v/>
      </c>
      <c r="AQ21" s="677" t="str">
        <f t="shared" si="6"/>
        <v/>
      </c>
      <c r="AR21" s="678" t="str">
        <f t="shared" si="6"/>
        <v/>
      </c>
      <c r="AS21" s="679" t="str">
        <f t="shared" si="6"/>
        <v/>
      </c>
      <c r="AT21" s="680"/>
      <c r="AU21" s="96"/>
    </row>
    <row r="22" spans="1:47" ht="23.25" customHeight="1" thickBot="1">
      <c r="A22" s="242"/>
      <c r="B22" s="563"/>
      <c r="C22" s="242"/>
      <c r="D22" s="97"/>
      <c r="E22" s="97"/>
      <c r="F22" s="97"/>
      <c r="G22" s="97"/>
      <c r="H22" s="97"/>
      <c r="I22" s="97"/>
      <c r="J22" s="97"/>
      <c r="K22" s="97"/>
      <c r="L22" s="97"/>
      <c r="M22" s="97"/>
      <c r="N22" s="97"/>
      <c r="O22" s="242"/>
      <c r="P22" s="490" t="s">
        <v>17</v>
      </c>
      <c r="Q22" s="491"/>
      <c r="R22" s="491"/>
      <c r="S22" s="491"/>
      <c r="T22" s="491"/>
      <c r="U22" s="491"/>
      <c r="V22" s="491"/>
      <c r="W22" s="491"/>
      <c r="X22" s="491"/>
      <c r="Y22" s="491"/>
      <c r="Z22" s="491"/>
      <c r="AA22" s="491"/>
      <c r="AB22" s="491"/>
      <c r="AC22" s="491"/>
      <c r="AD22" s="491"/>
      <c r="AE22" s="491"/>
      <c r="AF22" s="491"/>
      <c r="AG22" s="695" t="s">
        <v>36</v>
      </c>
      <c r="AH22" s="560"/>
      <c r="AI22" s="560"/>
      <c r="AJ22" s="560"/>
      <c r="AK22" s="560"/>
      <c r="AL22" s="560"/>
      <c r="AM22" s="560"/>
      <c r="AN22" s="560"/>
      <c r="AO22" s="560"/>
      <c r="AP22" s="560"/>
      <c r="AQ22" s="560"/>
      <c r="AR22" s="560"/>
      <c r="AS22" s="560"/>
      <c r="AT22" s="561"/>
      <c r="AU22" s="96"/>
    </row>
    <row r="23" spans="1:47" ht="20.25" customHeight="1">
      <c r="A23" s="242"/>
      <c r="B23" s="563"/>
      <c r="C23" s="242"/>
      <c r="D23" s="97"/>
      <c r="E23" s="97"/>
      <c r="F23" s="97"/>
      <c r="G23" s="97"/>
      <c r="H23" s="97"/>
      <c r="I23" s="97"/>
      <c r="J23" s="97"/>
      <c r="K23" s="97"/>
      <c r="L23" s="97"/>
      <c r="M23" s="97"/>
      <c r="N23" s="97"/>
      <c r="O23" s="242"/>
      <c r="P23" s="180" t="s">
        <v>18</v>
      </c>
      <c r="Q23" s="506" t="s">
        <v>19</v>
      </c>
      <c r="R23" s="504" t="s">
        <v>20</v>
      </c>
      <c r="S23" s="504"/>
      <c r="T23" s="504"/>
      <c r="U23" s="504"/>
      <c r="V23" s="504"/>
      <c r="W23" s="504"/>
      <c r="X23" s="571" t="str">
        <f>AB21</f>
        <v/>
      </c>
      <c r="Y23" s="571"/>
      <c r="Z23" s="572"/>
      <c r="AA23" s="572"/>
      <c r="AB23" s="572"/>
      <c r="AC23" s="572"/>
      <c r="AD23" s="573"/>
      <c r="AE23" s="573"/>
      <c r="AF23" s="574"/>
      <c r="AG23" s="559"/>
      <c r="AH23" s="560"/>
      <c r="AI23" s="560"/>
      <c r="AJ23" s="560"/>
      <c r="AK23" s="560"/>
      <c r="AL23" s="560"/>
      <c r="AM23" s="560"/>
      <c r="AN23" s="560"/>
      <c r="AO23" s="560"/>
      <c r="AP23" s="560"/>
      <c r="AQ23" s="560"/>
      <c r="AR23" s="560"/>
      <c r="AS23" s="560"/>
      <c r="AT23" s="561"/>
      <c r="AU23" s="96"/>
    </row>
    <row r="24" spans="1:47" ht="20.25" customHeight="1">
      <c r="A24" s="242"/>
      <c r="B24" s="563"/>
      <c r="C24" s="242"/>
      <c r="D24" s="97"/>
      <c r="E24" s="97"/>
      <c r="F24" s="97"/>
      <c r="G24" s="97"/>
      <c r="H24" s="97"/>
      <c r="I24" s="97"/>
      <c r="J24" s="97"/>
      <c r="K24" s="97"/>
      <c r="L24" s="97"/>
      <c r="M24" s="97"/>
      <c r="N24" s="97"/>
      <c r="O24" s="242"/>
      <c r="P24" s="181" t="s">
        <v>26</v>
      </c>
      <c r="Q24" s="507"/>
      <c r="R24" s="505" t="s">
        <v>22</v>
      </c>
      <c r="S24" s="505"/>
      <c r="T24" s="505"/>
      <c r="U24" s="505"/>
      <c r="V24" s="505"/>
      <c r="W24" s="505"/>
      <c r="X24" s="493" t="str">
        <f>AC21</f>
        <v/>
      </c>
      <c r="Y24" s="493"/>
      <c r="Z24" s="494"/>
      <c r="AA24" s="494"/>
      <c r="AB24" s="494"/>
      <c r="AC24" s="494"/>
      <c r="AD24" s="495"/>
      <c r="AE24" s="495"/>
      <c r="AF24" s="522"/>
      <c r="AG24" s="559"/>
      <c r="AH24" s="560"/>
      <c r="AI24" s="560"/>
      <c r="AJ24" s="560"/>
      <c r="AK24" s="560"/>
      <c r="AL24" s="560"/>
      <c r="AM24" s="560"/>
      <c r="AN24" s="560"/>
      <c r="AO24" s="560"/>
      <c r="AP24" s="560"/>
      <c r="AQ24" s="560"/>
      <c r="AR24" s="560"/>
      <c r="AS24" s="560"/>
      <c r="AT24" s="561"/>
      <c r="AU24" s="96"/>
    </row>
    <row r="25" spans="1:47" ht="20.25" customHeight="1">
      <c r="A25" s="242"/>
      <c r="B25" s="563"/>
      <c r="C25" s="242"/>
      <c r="D25" s="97"/>
      <c r="E25" s="97"/>
      <c r="F25" s="97"/>
      <c r="G25" s="97"/>
      <c r="H25" s="97"/>
      <c r="I25" s="97"/>
      <c r="J25" s="97"/>
      <c r="K25" s="97"/>
      <c r="L25" s="97"/>
      <c r="M25" s="97"/>
      <c r="N25" s="97"/>
      <c r="O25" s="242"/>
      <c r="P25" s="181" t="s">
        <v>21</v>
      </c>
      <c r="Q25" s="507"/>
      <c r="R25" s="505" t="s">
        <v>23</v>
      </c>
      <c r="S25" s="505"/>
      <c r="T25" s="505"/>
      <c r="U25" s="505"/>
      <c r="V25" s="505"/>
      <c r="W25" s="505"/>
      <c r="X25" s="493" t="str">
        <f>AF21</f>
        <v/>
      </c>
      <c r="Y25" s="493"/>
      <c r="Z25" s="494"/>
      <c r="AA25" s="494"/>
      <c r="AB25" s="494"/>
      <c r="AC25" s="494"/>
      <c r="AD25" s="495"/>
      <c r="AE25" s="495"/>
      <c r="AF25" s="522"/>
      <c r="AG25" s="559"/>
      <c r="AH25" s="560"/>
      <c r="AI25" s="560"/>
      <c r="AJ25" s="560"/>
      <c r="AK25" s="560"/>
      <c r="AL25" s="560"/>
      <c r="AM25" s="560"/>
      <c r="AN25" s="560"/>
      <c r="AO25" s="560"/>
      <c r="AP25" s="560"/>
      <c r="AQ25" s="560"/>
      <c r="AR25" s="560"/>
      <c r="AS25" s="560"/>
      <c r="AT25" s="561"/>
      <c r="AU25" s="96"/>
    </row>
    <row r="26" spans="1:47" ht="20.25" customHeight="1">
      <c r="A26" s="242"/>
      <c r="B26" s="563"/>
      <c r="C26" s="242"/>
      <c r="D26" s="97"/>
      <c r="E26" s="97"/>
      <c r="F26" s="97"/>
      <c r="G26" s="97"/>
      <c r="H26" s="97"/>
      <c r="I26" s="97"/>
      <c r="J26" s="97"/>
      <c r="K26" s="97"/>
      <c r="L26" s="97"/>
      <c r="M26" s="97"/>
      <c r="N26" s="97"/>
      <c r="O26" s="242"/>
      <c r="P26" s="181" t="s">
        <v>37</v>
      </c>
      <c r="Q26" s="507"/>
      <c r="R26" s="594">
        <f>AE10</f>
        <v>0</v>
      </c>
      <c r="S26" s="595"/>
      <c r="T26" s="595"/>
      <c r="U26" s="595"/>
      <c r="V26" s="595"/>
      <c r="W26" s="596"/>
      <c r="X26" s="523" t="str">
        <f>AE21</f>
        <v/>
      </c>
      <c r="Y26" s="524"/>
      <c r="Z26" s="524"/>
      <c r="AA26" s="524"/>
      <c r="AB26" s="524"/>
      <c r="AC26" s="524"/>
      <c r="AD26" s="524"/>
      <c r="AE26" s="524"/>
      <c r="AF26" s="525"/>
      <c r="AG26" s="545" t="s">
        <v>24</v>
      </c>
      <c r="AH26" s="546"/>
      <c r="AI26" s="546"/>
      <c r="AJ26" s="546"/>
      <c r="AK26" s="546"/>
      <c r="AL26" s="546"/>
      <c r="AM26" s="546"/>
      <c r="AN26" s="546"/>
      <c r="AO26" s="546"/>
      <c r="AP26" s="546"/>
      <c r="AQ26" s="546"/>
      <c r="AR26" s="546"/>
      <c r="AS26" s="546"/>
      <c r="AT26" s="547"/>
      <c r="AU26" s="96"/>
    </row>
    <row r="27" spans="1:47" ht="20.25" customHeight="1" thickBot="1">
      <c r="A27" s="242"/>
      <c r="B27" s="563"/>
      <c r="C27" s="242"/>
      <c r="D27" s="97"/>
      <c r="E27" s="97"/>
      <c r="F27" s="97"/>
      <c r="G27" s="97"/>
      <c r="H27" s="97"/>
      <c r="I27" s="97"/>
      <c r="J27" s="97"/>
      <c r="K27" s="97"/>
      <c r="L27" s="97"/>
      <c r="M27" s="97"/>
      <c r="N27" s="97"/>
      <c r="O27" s="242"/>
      <c r="P27" s="182"/>
      <c r="Q27" s="508"/>
      <c r="R27" s="586" t="s">
        <v>16</v>
      </c>
      <c r="S27" s="586"/>
      <c r="T27" s="586"/>
      <c r="U27" s="586"/>
      <c r="V27" s="586"/>
      <c r="W27" s="586"/>
      <c r="X27" s="526">
        <f>SUM(X23:AF26)</f>
        <v>0</v>
      </c>
      <c r="Y27" s="526"/>
      <c r="Z27" s="526"/>
      <c r="AA27" s="526"/>
      <c r="AB27" s="526"/>
      <c r="AC27" s="526"/>
      <c r="AD27" s="527"/>
      <c r="AE27" s="527"/>
      <c r="AF27" s="528"/>
      <c r="AG27" s="548"/>
      <c r="AH27" s="546"/>
      <c r="AI27" s="546"/>
      <c r="AJ27" s="546"/>
      <c r="AK27" s="546"/>
      <c r="AL27" s="546"/>
      <c r="AM27" s="546"/>
      <c r="AN27" s="546"/>
      <c r="AO27" s="546"/>
      <c r="AP27" s="546"/>
      <c r="AQ27" s="546"/>
      <c r="AR27" s="546"/>
      <c r="AS27" s="546"/>
      <c r="AT27" s="547"/>
      <c r="AU27" s="96"/>
    </row>
    <row r="28" spans="1:47" ht="20.25" customHeight="1">
      <c r="A28" s="242"/>
      <c r="B28" s="563"/>
      <c r="C28" s="242"/>
      <c r="D28" s="97"/>
      <c r="E28" s="97"/>
      <c r="F28" s="97"/>
      <c r="G28" s="97"/>
      <c r="H28" s="97"/>
      <c r="I28" s="97"/>
      <c r="J28" s="97"/>
      <c r="K28" s="97"/>
      <c r="L28" s="97"/>
      <c r="M28" s="97"/>
      <c r="N28" s="97"/>
      <c r="O28" s="242"/>
      <c r="P28" s="183" t="s">
        <v>18</v>
      </c>
      <c r="Q28" s="590" t="s">
        <v>25</v>
      </c>
      <c r="R28" s="509" t="s">
        <v>43</v>
      </c>
      <c r="S28" s="509"/>
      <c r="T28" s="509"/>
      <c r="U28" s="509"/>
      <c r="V28" s="509"/>
      <c r="W28" s="509"/>
      <c r="X28" s="487" t="str">
        <f>AJ21</f>
        <v/>
      </c>
      <c r="Y28" s="487"/>
      <c r="Z28" s="488"/>
      <c r="AA28" s="488"/>
      <c r="AB28" s="488"/>
      <c r="AC28" s="488"/>
      <c r="AD28" s="489"/>
      <c r="AE28" s="489"/>
      <c r="AF28" s="489"/>
      <c r="AG28" s="548"/>
      <c r="AH28" s="546"/>
      <c r="AI28" s="546"/>
      <c r="AJ28" s="546"/>
      <c r="AK28" s="546"/>
      <c r="AL28" s="546"/>
      <c r="AM28" s="546"/>
      <c r="AN28" s="546"/>
      <c r="AO28" s="546"/>
      <c r="AP28" s="546"/>
      <c r="AQ28" s="546"/>
      <c r="AR28" s="546"/>
      <c r="AS28" s="546"/>
      <c r="AT28" s="547"/>
      <c r="AU28" s="96"/>
    </row>
    <row r="29" spans="1:47" ht="20.25" customHeight="1">
      <c r="A29" s="242"/>
      <c r="B29" s="563"/>
      <c r="C29" s="242"/>
      <c r="D29" s="97"/>
      <c r="E29" s="97"/>
      <c r="F29" s="97"/>
      <c r="G29" s="97"/>
      <c r="H29" s="97"/>
      <c r="I29" s="97"/>
      <c r="J29" s="97"/>
      <c r="K29" s="97"/>
      <c r="L29" s="97"/>
      <c r="M29" s="97"/>
      <c r="N29" s="97"/>
      <c r="O29" s="242"/>
      <c r="P29" s="184" t="s">
        <v>26</v>
      </c>
      <c r="Q29" s="590"/>
      <c r="R29" s="505" t="s">
        <v>4</v>
      </c>
      <c r="S29" s="505"/>
      <c r="T29" s="505"/>
      <c r="U29" s="505"/>
      <c r="V29" s="505"/>
      <c r="W29" s="505"/>
      <c r="X29" s="493" t="str">
        <f>AM21</f>
        <v/>
      </c>
      <c r="Y29" s="493"/>
      <c r="Z29" s="494"/>
      <c r="AA29" s="494"/>
      <c r="AB29" s="494"/>
      <c r="AC29" s="494"/>
      <c r="AD29" s="495"/>
      <c r="AE29" s="495"/>
      <c r="AF29" s="495"/>
      <c r="AG29" s="548"/>
      <c r="AH29" s="546"/>
      <c r="AI29" s="546"/>
      <c r="AJ29" s="546"/>
      <c r="AK29" s="546"/>
      <c r="AL29" s="546"/>
      <c r="AM29" s="546"/>
      <c r="AN29" s="546"/>
      <c r="AO29" s="546"/>
      <c r="AP29" s="546"/>
      <c r="AQ29" s="546"/>
      <c r="AR29" s="546"/>
      <c r="AS29" s="546"/>
      <c r="AT29" s="547"/>
      <c r="AU29" s="96"/>
    </row>
    <row r="30" spans="1:47" ht="20.25" customHeight="1">
      <c r="A30" s="242"/>
      <c r="B30" s="563"/>
      <c r="C30" s="242"/>
      <c r="D30" s="97"/>
      <c r="E30" s="97"/>
      <c r="F30" s="97"/>
      <c r="G30" s="97"/>
      <c r="H30" s="97"/>
      <c r="I30" s="97"/>
      <c r="J30" s="97"/>
      <c r="K30" s="97"/>
      <c r="L30" s="97"/>
      <c r="M30" s="97"/>
      <c r="N30" s="97"/>
      <c r="O30" s="242"/>
      <c r="P30" s="181" t="s">
        <v>21</v>
      </c>
      <c r="Q30" s="590"/>
      <c r="R30" s="505" t="s">
        <v>27</v>
      </c>
      <c r="S30" s="505"/>
      <c r="T30" s="505"/>
      <c r="U30" s="505"/>
      <c r="V30" s="505"/>
      <c r="W30" s="505"/>
      <c r="X30" s="493" t="str">
        <f>AQ21</f>
        <v/>
      </c>
      <c r="Y30" s="493"/>
      <c r="Z30" s="494"/>
      <c r="AA30" s="494"/>
      <c r="AB30" s="494"/>
      <c r="AC30" s="494"/>
      <c r="AD30" s="495"/>
      <c r="AE30" s="495"/>
      <c r="AF30" s="495"/>
      <c r="AG30" s="548"/>
      <c r="AH30" s="546"/>
      <c r="AI30" s="546"/>
      <c r="AJ30" s="546"/>
      <c r="AK30" s="546"/>
      <c r="AL30" s="546"/>
      <c r="AM30" s="546"/>
      <c r="AN30" s="546"/>
      <c r="AO30" s="546"/>
      <c r="AP30" s="546"/>
      <c r="AQ30" s="546"/>
      <c r="AR30" s="546"/>
      <c r="AS30" s="546"/>
      <c r="AT30" s="547"/>
      <c r="AU30" s="96"/>
    </row>
    <row r="31" spans="1:47" ht="20.25" customHeight="1">
      <c r="A31" s="242"/>
      <c r="B31" s="563"/>
      <c r="C31" s="242"/>
      <c r="D31" s="97"/>
      <c r="E31" s="97"/>
      <c r="F31" s="97"/>
      <c r="G31" s="97"/>
      <c r="H31" s="97"/>
      <c r="I31" s="97"/>
      <c r="J31" s="97"/>
      <c r="K31" s="97"/>
      <c r="L31" s="97"/>
      <c r="M31" s="97"/>
      <c r="N31" s="97"/>
      <c r="O31" s="242"/>
      <c r="P31" s="181" t="s">
        <v>37</v>
      </c>
      <c r="Q31" s="590"/>
      <c r="R31" s="496" t="s">
        <v>39</v>
      </c>
      <c r="S31" s="497"/>
      <c r="T31" s="497"/>
      <c r="U31" s="497"/>
      <c r="V31" s="497"/>
      <c r="W31" s="498"/>
      <c r="X31" s="598" t="str">
        <f>AP21</f>
        <v/>
      </c>
      <c r="Y31" s="524"/>
      <c r="Z31" s="524"/>
      <c r="AA31" s="524"/>
      <c r="AB31" s="524"/>
      <c r="AC31" s="524"/>
      <c r="AD31" s="524"/>
      <c r="AE31" s="524"/>
      <c r="AF31" s="525"/>
      <c r="AG31" s="548"/>
      <c r="AH31" s="546"/>
      <c r="AI31" s="546"/>
      <c r="AJ31" s="546"/>
      <c r="AK31" s="546"/>
      <c r="AL31" s="546"/>
      <c r="AM31" s="546"/>
      <c r="AN31" s="546"/>
      <c r="AO31" s="546"/>
      <c r="AP31" s="546"/>
      <c r="AQ31" s="546"/>
      <c r="AR31" s="546"/>
      <c r="AS31" s="546"/>
      <c r="AT31" s="547"/>
      <c r="AU31" s="96"/>
    </row>
    <row r="32" spans="1:47" ht="20.25" customHeight="1">
      <c r="A32" s="242"/>
      <c r="B32" s="563"/>
      <c r="C32" s="242"/>
      <c r="D32" s="97"/>
      <c r="E32" s="97"/>
      <c r="F32" s="97"/>
      <c r="G32" s="97"/>
      <c r="H32" s="97"/>
      <c r="I32" s="97"/>
      <c r="J32" s="97"/>
      <c r="K32" s="97"/>
      <c r="L32" s="97"/>
      <c r="M32" s="97"/>
      <c r="N32" s="97"/>
      <c r="O32" s="242"/>
      <c r="P32" s="185"/>
      <c r="Q32" s="591"/>
      <c r="R32" s="483" t="s">
        <v>16</v>
      </c>
      <c r="S32" s="483"/>
      <c r="T32" s="483"/>
      <c r="U32" s="483"/>
      <c r="V32" s="483"/>
      <c r="W32" s="483"/>
      <c r="X32" s="511">
        <f>SUM(X28:AF31)</f>
        <v>0</v>
      </c>
      <c r="Y32" s="511"/>
      <c r="Z32" s="483"/>
      <c r="AA32" s="483"/>
      <c r="AB32" s="483"/>
      <c r="AC32" s="483"/>
      <c r="AD32" s="512"/>
      <c r="AE32" s="512"/>
      <c r="AF32" s="512"/>
      <c r="AG32" s="548"/>
      <c r="AH32" s="546"/>
      <c r="AI32" s="546"/>
      <c r="AJ32" s="546"/>
      <c r="AK32" s="546"/>
      <c r="AL32" s="546"/>
      <c r="AM32" s="546"/>
      <c r="AN32" s="546"/>
      <c r="AO32" s="546"/>
      <c r="AP32" s="546"/>
      <c r="AQ32" s="546"/>
      <c r="AR32" s="546"/>
      <c r="AS32" s="546"/>
      <c r="AT32" s="547"/>
      <c r="AU32" s="96"/>
    </row>
    <row r="33" spans="1:47" ht="18.75" customHeight="1" thickBot="1">
      <c r="A33" s="242"/>
      <c r="B33" s="563"/>
      <c r="C33" s="242"/>
      <c r="D33" s="97"/>
      <c r="E33" s="97"/>
      <c r="F33" s="97"/>
      <c r="G33" s="97"/>
      <c r="H33" s="97"/>
      <c r="I33" s="97"/>
      <c r="J33" s="97"/>
      <c r="K33" s="97"/>
      <c r="L33" s="97"/>
      <c r="M33" s="97"/>
      <c r="N33" s="97"/>
      <c r="O33" s="242"/>
      <c r="P33" s="501" t="s">
        <v>28</v>
      </c>
      <c r="Q33" s="502"/>
      <c r="R33" s="503"/>
      <c r="S33" s="503"/>
      <c r="T33" s="503"/>
      <c r="U33" s="503"/>
      <c r="V33" s="503"/>
      <c r="W33" s="503"/>
      <c r="X33" s="552">
        <f>SUM(X27-X32)</f>
        <v>0</v>
      </c>
      <c r="Y33" s="552"/>
      <c r="Z33" s="503"/>
      <c r="AA33" s="503"/>
      <c r="AB33" s="503"/>
      <c r="AC33" s="503"/>
      <c r="AD33" s="553"/>
      <c r="AE33" s="553"/>
      <c r="AF33" s="553"/>
      <c r="AG33" s="549"/>
      <c r="AH33" s="550"/>
      <c r="AI33" s="550"/>
      <c r="AJ33" s="550"/>
      <c r="AK33" s="550"/>
      <c r="AL33" s="550"/>
      <c r="AM33" s="550"/>
      <c r="AN33" s="550"/>
      <c r="AO33" s="550"/>
      <c r="AP33" s="550"/>
      <c r="AQ33" s="550"/>
      <c r="AR33" s="550"/>
      <c r="AS33" s="550"/>
      <c r="AT33" s="551"/>
      <c r="AU33" s="96"/>
    </row>
    <row r="34" spans="1:47" ht="10.5" customHeight="1">
      <c r="A34" s="242"/>
      <c r="B34" s="563"/>
      <c r="C34" s="242"/>
      <c r="D34" s="97"/>
      <c r="E34" s="97"/>
      <c r="F34" s="97"/>
      <c r="G34" s="97"/>
      <c r="H34" s="97"/>
      <c r="I34" s="97"/>
      <c r="J34" s="97"/>
      <c r="K34" s="97"/>
      <c r="L34" s="97"/>
      <c r="M34" s="97"/>
      <c r="N34" s="97"/>
      <c r="O34" s="242"/>
      <c r="P34" s="540"/>
      <c r="Q34" s="540"/>
      <c r="R34" s="540"/>
      <c r="S34" s="540"/>
      <c r="T34" s="540"/>
      <c r="U34" s="540"/>
      <c r="V34" s="540"/>
      <c r="W34" s="540"/>
      <c r="X34" s="540"/>
      <c r="Y34" s="540"/>
      <c r="Z34" s="540"/>
      <c r="AA34" s="540"/>
      <c r="AB34" s="540"/>
      <c r="AC34" s="540"/>
      <c r="AD34" s="540"/>
      <c r="AE34" s="540"/>
      <c r="AF34" s="540"/>
      <c r="AG34" s="540"/>
      <c r="AH34" s="540"/>
      <c r="AI34" s="540"/>
      <c r="AJ34" s="540"/>
      <c r="AK34" s="540"/>
      <c r="AL34" s="540"/>
      <c r="AM34" s="540"/>
      <c r="AN34" s="540"/>
      <c r="AO34" s="540"/>
      <c r="AP34" s="540"/>
      <c r="AQ34" s="540"/>
      <c r="AR34" s="540"/>
      <c r="AS34" s="540"/>
      <c r="AT34" s="540"/>
      <c r="AU34" s="96"/>
    </row>
    <row r="35" spans="1:47" hidden="1"/>
    <row r="36" spans="1:47" hidden="1">
      <c r="B36" s="4" t="str">
        <f>IF('Basic Data Entry'!C7="","",'Basic Data Entry'!C7)</f>
        <v>A</v>
      </c>
    </row>
    <row r="37" spans="1:47" hidden="1">
      <c r="B37" s="4" t="str">
        <f>IF('Basic Data Entry'!C9="","",'Basic Data Entry'!C9)</f>
        <v>B</v>
      </c>
    </row>
    <row r="38" spans="1:47" hidden="1">
      <c r="B38" s="4" t="str">
        <f>IF('Basic Data Entry'!C11="","",'Basic Data Entry'!C11)</f>
        <v>C</v>
      </c>
    </row>
    <row r="39" spans="1:47" hidden="1">
      <c r="B39" s="4" t="str">
        <f>IF('Basic Data Entry'!C13="","",'Basic Data Entry'!C13)</f>
        <v>D</v>
      </c>
    </row>
    <row r="40" spans="1:47" hidden="1">
      <c r="B40" s="4" t="str">
        <f>IF('Basic Data Entry'!C15="","",'Basic Data Entry'!C15)</f>
        <v/>
      </c>
    </row>
    <row r="41" spans="1:47" hidden="1">
      <c r="B41" s="4" t="str">
        <f>IF('Basic Data Entry'!C17="","",'Basic Data Entry'!C17)</f>
        <v/>
      </c>
    </row>
    <row r="42" spans="1:47" hidden="1">
      <c r="B42" s="4" t="str">
        <f>IF('Basic Data Entry'!C19="","",'Basic Data Entry'!C19)</f>
        <v/>
      </c>
    </row>
    <row r="43" spans="1:47" hidden="1">
      <c r="B43" s="4"/>
    </row>
    <row r="44" spans="1:47" hidden="1"/>
    <row r="45" spans="1:47" hidden="1"/>
    <row r="46" spans="1:47" hidden="1"/>
    <row r="47" spans="1:47" hidden="1"/>
    <row r="48" spans="1:47"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E8FA" sheet="1" objects="1" scenarios="1" formatCells="0" formatColumns="0" formatRows="0"/>
  <mergeCells count="70">
    <mergeCell ref="X31:AF31"/>
    <mergeCell ref="R32:W32"/>
    <mergeCell ref="X32:AF32"/>
    <mergeCell ref="P33:W33"/>
    <mergeCell ref="X33:AF33"/>
    <mergeCell ref="P34:AT34"/>
    <mergeCell ref="R27:W27"/>
    <mergeCell ref="X27:AF27"/>
    <mergeCell ref="Q28:Q32"/>
    <mergeCell ref="R28:W28"/>
    <mergeCell ref="X28:AF28"/>
    <mergeCell ref="R29:W29"/>
    <mergeCell ref="X29:AF29"/>
    <mergeCell ref="R30:W30"/>
    <mergeCell ref="X30:AF30"/>
    <mergeCell ref="R31:W31"/>
    <mergeCell ref="AT9:AT10"/>
    <mergeCell ref="P21:Q21"/>
    <mergeCell ref="P22:AF22"/>
    <mergeCell ref="AG22:AT25"/>
    <mergeCell ref="Q23:Q27"/>
    <mergeCell ref="R23:W23"/>
    <mergeCell ref="X23:AF23"/>
    <mergeCell ref="R24:W24"/>
    <mergeCell ref="X24:AF24"/>
    <mergeCell ref="R25:W25"/>
    <mergeCell ref="AH9:AJ9"/>
    <mergeCell ref="AK9:AM9"/>
    <mergeCell ref="AN9:AP9"/>
    <mergeCell ref="AQ9:AQ10"/>
    <mergeCell ref="AR9:AR10"/>
    <mergeCell ref="AS9:AS10"/>
    <mergeCell ref="B9:B34"/>
    <mergeCell ref="P9:P10"/>
    <mergeCell ref="Q9:Q10"/>
    <mergeCell ref="R9:V9"/>
    <mergeCell ref="W9:AA9"/>
    <mergeCell ref="AB9:AG9"/>
    <mergeCell ref="X25:AF25"/>
    <mergeCell ref="R26:W26"/>
    <mergeCell ref="X26:AF26"/>
    <mergeCell ref="AG26:AT33"/>
    <mergeCell ref="P7:S7"/>
    <mergeCell ref="T7:Y7"/>
    <mergeCell ref="Z7:AH7"/>
    <mergeCell ref="AI7:AL7"/>
    <mergeCell ref="AM7:AT7"/>
    <mergeCell ref="P8:AB8"/>
    <mergeCell ref="AE8:AG8"/>
    <mergeCell ref="AI8:AK8"/>
    <mergeCell ref="AN8:AT8"/>
    <mergeCell ref="P3:Q3"/>
    <mergeCell ref="R3:AT3"/>
    <mergeCell ref="A4:A34"/>
    <mergeCell ref="B4:B6"/>
    <mergeCell ref="C4:C34"/>
    <mergeCell ref="O4:O34"/>
    <mergeCell ref="P4:AT4"/>
    <mergeCell ref="P5:AT5"/>
    <mergeCell ref="P6:AT6"/>
    <mergeCell ref="B7:B8"/>
    <mergeCell ref="P1:AT1"/>
    <mergeCell ref="P2:Q2"/>
    <mergeCell ref="R2:T2"/>
    <mergeCell ref="U2:X2"/>
    <mergeCell ref="Y2:Z2"/>
    <mergeCell ref="AA2:AE2"/>
    <mergeCell ref="AG2:AI2"/>
    <mergeCell ref="AJ2:AM2"/>
    <mergeCell ref="AN2:AS2"/>
  </mergeCells>
  <conditionalFormatting sqref="W12:W19 R11:R19">
    <cfRule type="expression" dxfId="7" priority="4">
      <formula>#REF!=7</formula>
    </cfRule>
  </conditionalFormatting>
  <conditionalFormatting sqref="R26:AF26 Y10 T10 AE10 T7:Y7 AI7:AL7">
    <cfRule type="cellIs" dxfId="6" priority="3" operator="equal">
      <formula>0</formula>
    </cfRule>
  </conditionalFormatting>
  <conditionalFormatting sqref="W12:AQ19 P12:R19 AS12:AT19 Y11 AS20 X20:AQ20">
    <cfRule type="expression" dxfId="1" priority="2">
      <formula>$Q11=0</formula>
    </cfRule>
  </conditionalFormatting>
  <conditionalFormatting sqref="P11:AT19 V20 S20:T20 X20:AS20">
    <cfRule type="expression" dxfId="0" priority="1">
      <formula>$P11=""</formula>
    </cfRule>
  </conditionalFormatting>
  <dataValidations count="2">
    <dataValidation type="list" allowBlank="1" showInputMessage="1" showErrorMessage="1" sqref="B7:B8">
      <formula1>$B$36:$B$42</formula1>
    </dataValidation>
    <dataValidation type="list" allowBlank="1" showInputMessage="1" showErrorMessage="1" sqref="U2">
      <formula1>"Subordinate,State,Ministrial"</formula1>
    </dataValidation>
  </dataValidations>
  <pageMargins left="0.31496062992125984" right="0.19685039370078741" top="0.31496062992125984" bottom="0.35433070866141736" header="0.31496062992125984" footer="0.31496062992125984"/>
  <pageSetup paperSize="9" scale="63" orientation="landscape"/>
</worksheet>
</file>

<file path=xl/worksheets/sheet5.xml><?xml version="1.0" encoding="utf-8"?>
<worksheet xmlns="http://schemas.openxmlformats.org/spreadsheetml/2006/main" xmlns:r="http://schemas.openxmlformats.org/officeDocument/2006/relationships">
  <sheetPr>
    <tabColor rgb="FFFFFF00"/>
  </sheetPr>
  <dimension ref="A1:C23"/>
  <sheetViews>
    <sheetView showGridLines="0" workbookViewId="0">
      <selection activeCell="B10" sqref="B10"/>
    </sheetView>
  </sheetViews>
  <sheetFormatPr defaultColWidth="0" defaultRowHeight="20.25" zeroHeight="1"/>
  <cols>
    <col min="1" max="1" width="3" style="1" customWidth="1"/>
    <col min="2" max="2" width="100.85546875" style="186" customWidth="1"/>
    <col min="3" max="3" width="3.5703125" style="1" customWidth="1"/>
    <col min="4" max="16384" width="9.140625" style="1" hidden="1"/>
  </cols>
  <sheetData>
    <row r="1" spans="1:3" ht="37.5" customHeight="1">
      <c r="A1" s="392"/>
      <c r="B1" s="392"/>
      <c r="C1" s="392"/>
    </row>
    <row r="2" spans="1:3" ht="22.5" customHeight="1">
      <c r="A2" s="392"/>
      <c r="B2" s="187" t="s">
        <v>59</v>
      </c>
      <c r="C2" s="392"/>
    </row>
    <row r="3" spans="1:3" ht="22.5" customHeight="1">
      <c r="A3" s="392"/>
      <c r="B3" s="187" t="s">
        <v>60</v>
      </c>
      <c r="C3" s="392"/>
    </row>
    <row r="4" spans="1:3" ht="22.5" customHeight="1">
      <c r="A4" s="392"/>
      <c r="B4" s="188" t="str">
        <f>CONCATENATE('Basic Data Entry'!D3," ","A")</f>
        <v>jkmekfo jk;eyok³k] ckfi.kh ¼tks/kiqj½ A</v>
      </c>
      <c r="C4" s="392"/>
    </row>
    <row r="5" spans="1:3" ht="11.25" customHeight="1">
      <c r="A5" s="392"/>
      <c r="B5" s="187"/>
      <c r="C5" s="392"/>
    </row>
    <row r="6" spans="1:3" ht="22.5" customHeight="1">
      <c r="A6" s="392"/>
      <c r="B6" s="187" t="s">
        <v>61</v>
      </c>
      <c r="C6" s="392"/>
    </row>
    <row r="7" spans="1:3" ht="11.25" customHeight="1">
      <c r="A7" s="392"/>
      <c r="B7" s="187"/>
      <c r="C7" s="392"/>
    </row>
    <row r="8" spans="1:3" ht="22.5" customHeight="1">
      <c r="A8" s="392"/>
      <c r="B8" s="187" t="s">
        <v>62</v>
      </c>
      <c r="C8" s="392"/>
    </row>
    <row r="9" spans="1:3" ht="10.5" customHeight="1">
      <c r="A9" s="392"/>
      <c r="C9" s="392"/>
    </row>
    <row r="10" spans="1:3" ht="72.75" customHeight="1">
      <c r="A10" s="392"/>
      <c r="B10" s="189" t="s">
        <v>67</v>
      </c>
      <c r="C10" s="392"/>
    </row>
    <row r="11" spans="1:3" ht="14.25" customHeight="1">
      <c r="A11" s="392"/>
      <c r="C11" s="392"/>
    </row>
    <row r="12" spans="1:3" ht="22.5" customHeight="1">
      <c r="A12" s="392"/>
      <c r="B12" s="187" t="s">
        <v>63</v>
      </c>
      <c r="C12" s="392"/>
    </row>
    <row r="13" spans="1:3" ht="22.5" customHeight="1">
      <c r="A13" s="392"/>
      <c r="B13" s="190" t="s">
        <v>64</v>
      </c>
      <c r="C13" s="392"/>
    </row>
    <row r="14" spans="1:3" ht="22.5" customHeight="1">
      <c r="A14" s="392"/>
      <c r="B14" s="190" t="s">
        <v>65</v>
      </c>
      <c r="C14" s="392"/>
    </row>
    <row r="15" spans="1:3" ht="53.25" customHeight="1">
      <c r="A15" s="392"/>
      <c r="C15" s="392"/>
    </row>
    <row r="16" spans="1:3" ht="22.5" customHeight="1">
      <c r="A16" s="392"/>
      <c r="B16" s="191" t="s">
        <v>66</v>
      </c>
      <c r="C16" s="392"/>
    </row>
    <row r="17" spans="1:3" ht="34.5" customHeight="1">
      <c r="A17" s="392"/>
      <c r="C17" s="392"/>
    </row>
    <row r="18" spans="1:3">
      <c r="A18" s="392"/>
      <c r="B18" s="192" t="s">
        <v>104</v>
      </c>
      <c r="C18" s="392"/>
    </row>
    <row r="19" spans="1:3" ht="24" customHeight="1">
      <c r="A19" s="392"/>
      <c r="B19" s="193" t="s">
        <v>105</v>
      </c>
      <c r="C19" s="392"/>
    </row>
    <row r="20" spans="1:3" ht="22.5" customHeight="1">
      <c r="A20" s="392"/>
      <c r="B20" s="194" t="str">
        <f>CONCATENATE('Basic Data Entry'!C3)</f>
        <v/>
      </c>
      <c r="C20" s="392"/>
    </row>
    <row r="21" spans="1:3" ht="22.5" customHeight="1">
      <c r="A21" s="392"/>
      <c r="C21" s="392"/>
    </row>
    <row r="22" spans="1:3" ht="22.5" hidden="1" customHeight="1">
      <c r="A22" s="195"/>
      <c r="C22" s="195"/>
    </row>
    <row r="23" spans="1:3" ht="22.5" hidden="1" customHeight="1">
      <c r="A23" s="195"/>
      <c r="C23" s="195"/>
    </row>
  </sheetData>
  <sheetProtection password="E8FA" sheet="1" objects="1" scenarios="1" formatColumns="0" formatRows="0"/>
  <mergeCells count="3">
    <mergeCell ref="A1:C1"/>
    <mergeCell ref="C2:C21"/>
    <mergeCell ref="A2:A21"/>
  </mergeCells>
  <pageMargins left="0.7" right="0.36" top="0.3" bottom="0.36" header="0.17" footer="0.3"/>
</worksheet>
</file>

<file path=xl/worksheets/sheet6.xml><?xml version="1.0" encoding="utf-8"?>
<worksheet xmlns="http://schemas.openxmlformats.org/spreadsheetml/2006/main" xmlns:r="http://schemas.openxmlformats.org/officeDocument/2006/relationships">
  <sheetPr>
    <tabColor rgb="FF0C0C0C"/>
  </sheetPr>
  <dimension ref="A1:R24"/>
  <sheetViews>
    <sheetView showGridLines="0" topLeftCell="A6" workbookViewId="0">
      <selection activeCell="C3" sqref="C3"/>
    </sheetView>
  </sheetViews>
  <sheetFormatPr defaultColWidth="0" defaultRowHeight="20.25" zeroHeight="1"/>
  <cols>
    <col min="1" max="1" width="2.85546875" style="196" customWidth="1"/>
    <col min="2" max="2" width="1" style="196" customWidth="1"/>
    <col min="3" max="3" width="103.5703125" style="197" customWidth="1"/>
    <col min="4" max="4" width="1.85546875" style="196" customWidth="1"/>
    <col min="5" max="5" width="2.7109375" style="196" customWidth="1"/>
    <col min="6" max="18" width="0" hidden="1" customWidth="1"/>
    <col min="19" max="16384" width="9.140625" hidden="1"/>
  </cols>
  <sheetData>
    <row r="1" spans="1:5" ht="9.75" customHeight="1">
      <c r="A1"/>
      <c r="B1"/>
      <c r="C1"/>
      <c r="D1"/>
      <c r="E1"/>
    </row>
    <row r="2" spans="1:5" ht="24.75">
      <c r="A2" s="599"/>
      <c r="B2" s="600"/>
      <c r="C2" s="198" t="s">
        <v>69</v>
      </c>
      <c r="D2" s="603"/>
      <c r="E2" s="599"/>
    </row>
    <row r="3" spans="1:5" ht="212.25" customHeight="1">
      <c r="A3" s="599"/>
      <c r="B3" s="601"/>
      <c r="C3" s="199" t="s">
        <v>70</v>
      </c>
      <c r="D3" s="604"/>
      <c r="E3" s="599"/>
    </row>
    <row r="4" spans="1:5" ht="21">
      <c r="A4" s="599"/>
      <c r="B4" s="601"/>
      <c r="C4" s="199"/>
      <c r="D4" s="604"/>
      <c r="E4" s="599"/>
    </row>
    <row r="5" spans="1:5" s="200" customFormat="1" ht="30.75" customHeight="1">
      <c r="A5" s="599"/>
      <c r="B5" s="601"/>
      <c r="C5" s="201" t="s">
        <v>71</v>
      </c>
      <c r="D5" s="604"/>
      <c r="E5" s="599"/>
    </row>
    <row r="6" spans="1:5" s="200" customFormat="1" ht="30.75" customHeight="1">
      <c r="A6" s="599"/>
      <c r="B6" s="601"/>
      <c r="C6" s="201" t="s">
        <v>72</v>
      </c>
      <c r="D6" s="604"/>
      <c r="E6" s="599"/>
    </row>
    <row r="7" spans="1:5" s="200" customFormat="1" ht="30.75" customHeight="1">
      <c r="A7" s="599"/>
      <c r="B7" s="601"/>
      <c r="C7" s="201" t="s">
        <v>73</v>
      </c>
      <c r="D7" s="604"/>
      <c r="E7" s="599"/>
    </row>
    <row r="8" spans="1:5" s="200" customFormat="1" ht="30.75" customHeight="1">
      <c r="A8" s="599"/>
      <c r="B8" s="601"/>
      <c r="C8" s="201" t="s">
        <v>74</v>
      </c>
      <c r="D8" s="604"/>
      <c r="E8" s="599"/>
    </row>
    <row r="9" spans="1:5">
      <c r="A9" s="599"/>
      <c r="B9" s="601"/>
      <c r="D9" s="604"/>
      <c r="E9" s="599"/>
    </row>
    <row r="10" spans="1:5" ht="23.25">
      <c r="A10" s="599"/>
      <c r="B10" s="601"/>
      <c r="C10" s="202" t="s">
        <v>75</v>
      </c>
      <c r="D10" s="604"/>
      <c r="E10" s="599"/>
    </row>
    <row r="11" spans="1:5" ht="127.5" customHeight="1">
      <c r="A11" s="599"/>
      <c r="B11" s="601"/>
      <c r="C11" s="199" t="s">
        <v>76</v>
      </c>
      <c r="D11" s="604"/>
      <c r="E11" s="599"/>
    </row>
    <row r="12" spans="1:5">
      <c r="A12" s="599"/>
      <c r="B12" s="601"/>
      <c r="D12" s="604"/>
      <c r="E12" s="599"/>
    </row>
    <row r="13" spans="1:5" ht="29.25" customHeight="1">
      <c r="A13" s="599"/>
      <c r="B13" s="601"/>
      <c r="C13" s="201" t="s">
        <v>71</v>
      </c>
      <c r="D13" s="604"/>
      <c r="E13" s="599"/>
    </row>
    <row r="14" spans="1:5" ht="29.25" customHeight="1">
      <c r="A14" s="599"/>
      <c r="B14" s="601"/>
      <c r="C14" s="201" t="s">
        <v>72</v>
      </c>
      <c r="D14" s="604"/>
      <c r="E14" s="599"/>
    </row>
    <row r="15" spans="1:5" ht="29.25" customHeight="1">
      <c r="A15" s="599"/>
      <c r="B15" s="601"/>
      <c r="C15" s="201" t="s">
        <v>73</v>
      </c>
      <c r="D15" s="604"/>
      <c r="E15" s="599"/>
    </row>
    <row r="16" spans="1:5" ht="29.25" customHeight="1">
      <c r="A16" s="599"/>
      <c r="B16" s="601"/>
      <c r="C16" s="201" t="s">
        <v>74</v>
      </c>
      <c r="D16" s="604"/>
      <c r="E16" s="599"/>
    </row>
    <row r="17" spans="1:18" ht="29.25" customHeight="1">
      <c r="A17" s="599"/>
      <c r="B17" s="601"/>
      <c r="C17" s="201" t="s">
        <v>77</v>
      </c>
      <c r="D17" s="604"/>
      <c r="E17" s="599"/>
    </row>
    <row r="18" spans="1:18" ht="29.25" customHeight="1">
      <c r="A18" s="599"/>
      <c r="B18" s="601"/>
      <c r="C18" s="203" t="s">
        <v>78</v>
      </c>
      <c r="D18" s="604"/>
      <c r="E18" s="599"/>
    </row>
    <row r="19" spans="1:18" ht="29.25" customHeight="1">
      <c r="A19" s="599"/>
      <c r="B19" s="601"/>
      <c r="C19" s="204" t="s">
        <v>79</v>
      </c>
      <c r="D19" s="604"/>
      <c r="E19" s="599"/>
    </row>
    <row r="20" spans="1:18" ht="29.25" customHeight="1">
      <c r="A20" s="599"/>
      <c r="B20" s="601"/>
      <c r="C20" s="201" t="s">
        <v>80</v>
      </c>
      <c r="D20" s="604"/>
      <c r="E20" s="599"/>
    </row>
    <row r="21" spans="1:18" ht="29.25" customHeight="1">
      <c r="A21" s="599"/>
      <c r="B21" s="601"/>
      <c r="C21" s="201" t="s">
        <v>81</v>
      </c>
      <c r="D21" s="604"/>
      <c r="E21" s="599"/>
      <c r="R21" t="s">
        <v>68</v>
      </c>
    </row>
    <row r="22" spans="1:18" ht="29.25" customHeight="1">
      <c r="A22" s="599"/>
      <c r="B22" s="601"/>
      <c r="C22" s="201" t="s">
        <v>82</v>
      </c>
      <c r="D22" s="604"/>
      <c r="E22" s="599"/>
    </row>
    <row r="23" spans="1:18" ht="29.25" customHeight="1">
      <c r="A23" s="599"/>
      <c r="B23" s="602"/>
      <c r="C23" s="205"/>
      <c r="D23" s="605"/>
      <c r="E23" s="599"/>
    </row>
    <row r="24" spans="1:18" ht="9.75" customHeight="1">
      <c r="A24" s="599"/>
      <c r="B24" s="599"/>
      <c r="C24" s="599"/>
      <c r="D24" s="599"/>
      <c r="E24" s="599"/>
    </row>
  </sheetData>
  <sheetProtection password="E8FA" sheet="1" objects="1" scenarios="1" formatColumns="0" formatRows="0"/>
  <mergeCells count="5">
    <mergeCell ref="A2:A23"/>
    <mergeCell ref="B2:B23"/>
    <mergeCell ref="D2:D23"/>
    <mergeCell ref="E2:E23"/>
    <mergeCell ref="A24:E24"/>
  </mergeCells>
  <pageMargins left="0.27" right="0.15" top="0.24" bottom="0.21" header="0.17" footer="0.15"/>
  <pageSetup paperSize="9" scale="89"/>
</worksheet>
</file>

<file path=xl/worksheets/sheet7.xml><?xml version="1.0" encoding="utf-8"?>
<worksheet xmlns="http://schemas.openxmlformats.org/spreadsheetml/2006/main" xmlns:r="http://schemas.openxmlformats.org/officeDocument/2006/relationships">
  <sheetPr>
    <tabColor rgb="FFE36B09"/>
  </sheetPr>
  <dimension ref="A1:AA48"/>
  <sheetViews>
    <sheetView topLeftCell="A3" workbookViewId="0">
      <pane xSplit="2" ySplit="4" topLeftCell="C7" activePane="bottomRight" state="frozen"/>
      <selection pane="topRight" activeCell="A3" sqref="A3"/>
      <selection pane="bottomLeft" activeCell="A3" sqref="A3"/>
      <selection pane="bottomRight" activeCell="A2" sqref="A1:XFD1048576"/>
    </sheetView>
  </sheetViews>
  <sheetFormatPr defaultColWidth="0" defaultRowHeight="15" zeroHeight="1"/>
  <cols>
    <col min="1" max="1" width="2.85546875" style="1" customWidth="1"/>
    <col min="2" max="2" width="26.5703125" style="1" customWidth="1"/>
    <col min="3" max="26" width="9.140625" style="1" customWidth="1"/>
    <col min="27" max="27" width="2.42578125" style="1" customWidth="1"/>
    <col min="28" max="16384" width="9.140625" style="1" hidden="1"/>
  </cols>
  <sheetData>
    <row r="1" spans="1:27">
      <c r="A1" s="606"/>
      <c r="B1" s="606"/>
      <c r="C1" s="606"/>
      <c r="D1" s="606"/>
      <c r="E1" s="606"/>
      <c r="F1" s="606"/>
      <c r="G1" s="606"/>
      <c r="H1" s="606"/>
      <c r="I1" s="606"/>
      <c r="J1" s="606"/>
      <c r="K1" s="606"/>
      <c r="L1" s="606"/>
      <c r="M1" s="606"/>
      <c r="N1" s="606"/>
      <c r="O1" s="606"/>
      <c r="P1" s="606"/>
      <c r="Q1" s="606"/>
      <c r="R1" s="606"/>
      <c r="S1" s="606"/>
      <c r="T1" s="606"/>
      <c r="U1" s="606"/>
      <c r="V1" s="606"/>
      <c r="W1" s="606"/>
      <c r="X1" s="606"/>
      <c r="Y1" s="606"/>
      <c r="Z1" s="606"/>
      <c r="AA1" s="606"/>
    </row>
    <row r="2" spans="1:27" ht="18">
      <c r="A2" s="606"/>
      <c r="B2" s="609" t="s">
        <v>44</v>
      </c>
      <c r="C2" s="609"/>
      <c r="D2" s="609"/>
      <c r="E2" s="609"/>
      <c r="F2" s="609"/>
      <c r="G2" s="609"/>
      <c r="H2" s="609"/>
      <c r="I2" s="609"/>
      <c r="J2" s="609"/>
      <c r="K2" s="609"/>
      <c r="L2" s="609"/>
      <c r="M2" s="609"/>
      <c r="N2" s="609"/>
      <c r="O2" s="609"/>
      <c r="P2" s="609"/>
      <c r="Q2" s="609"/>
      <c r="R2" s="609"/>
      <c r="S2" s="609"/>
      <c r="T2" s="609"/>
      <c r="U2" s="609"/>
      <c r="V2" s="609"/>
      <c r="W2" s="609"/>
      <c r="X2" s="609"/>
      <c r="Y2" s="609"/>
      <c r="Z2" s="609"/>
      <c r="AA2" s="610"/>
    </row>
    <row r="3" spans="1:27" s="206" customFormat="1" ht="22.5" customHeight="1">
      <c r="A3" s="606"/>
      <c r="B3" s="207" t="s">
        <v>45</v>
      </c>
      <c r="C3" s="607" t="s">
        <v>46</v>
      </c>
      <c r="D3" s="607"/>
      <c r="E3" s="607"/>
      <c r="F3" s="607"/>
      <c r="G3" s="607"/>
      <c r="H3" s="607"/>
      <c r="I3" s="607"/>
      <c r="J3" s="607"/>
      <c r="K3" s="607"/>
      <c r="L3" s="607" t="s">
        <v>47</v>
      </c>
      <c r="M3" s="607"/>
      <c r="N3" s="607"/>
      <c r="O3" s="607"/>
      <c r="P3" s="607" t="s">
        <v>48</v>
      </c>
      <c r="Q3" s="607"/>
      <c r="R3" s="607"/>
      <c r="S3" s="607"/>
      <c r="T3" s="607"/>
      <c r="U3" s="607"/>
      <c r="V3" s="607"/>
      <c r="W3" s="607" t="s">
        <v>49</v>
      </c>
      <c r="X3" s="607"/>
      <c r="Y3" s="607"/>
      <c r="Z3" s="607"/>
      <c r="AA3" s="610"/>
    </row>
    <row r="4" spans="1:27" s="206" customFormat="1" ht="22.5" customHeight="1">
      <c r="A4" s="606"/>
      <c r="B4" s="208" t="s">
        <v>50</v>
      </c>
      <c r="C4" s="209">
        <v>1700</v>
      </c>
      <c r="D4" s="209">
        <v>1750</v>
      </c>
      <c r="E4" s="209">
        <v>1900</v>
      </c>
      <c r="F4" s="209">
        <v>2000</v>
      </c>
      <c r="G4" s="209">
        <v>2400</v>
      </c>
      <c r="H4" s="209">
        <v>2400</v>
      </c>
      <c r="I4" s="209">
        <v>2400</v>
      </c>
      <c r="J4" s="209">
        <v>2800</v>
      </c>
      <c r="K4" s="209">
        <v>2800</v>
      </c>
      <c r="L4" s="209">
        <v>3600</v>
      </c>
      <c r="M4" s="209">
        <v>4200</v>
      </c>
      <c r="N4" s="209">
        <v>4800</v>
      </c>
      <c r="O4" s="209">
        <v>5400</v>
      </c>
      <c r="P4" s="209">
        <v>5400</v>
      </c>
      <c r="Q4" s="209">
        <v>6000</v>
      </c>
      <c r="R4" s="209">
        <v>6600</v>
      </c>
      <c r="S4" s="209">
        <v>6800</v>
      </c>
      <c r="T4" s="209">
        <v>7200</v>
      </c>
      <c r="U4" s="209">
        <v>7600</v>
      </c>
      <c r="V4" s="209">
        <v>8200</v>
      </c>
      <c r="W4" s="209">
        <v>8700</v>
      </c>
      <c r="X4" s="209">
        <v>8900</v>
      </c>
      <c r="Y4" s="209">
        <v>9500</v>
      </c>
      <c r="Z4" s="209">
        <v>10000</v>
      </c>
      <c r="AA4" s="610"/>
    </row>
    <row r="5" spans="1:27" s="206" customFormat="1" ht="22.5" customHeight="1">
      <c r="A5" s="606"/>
      <c r="B5" s="210" t="s">
        <v>51</v>
      </c>
      <c r="C5" s="211">
        <v>2</v>
      </c>
      <c r="D5" s="211">
        <v>3</v>
      </c>
      <c r="E5" s="211">
        <v>4</v>
      </c>
      <c r="F5" s="211">
        <v>5</v>
      </c>
      <c r="G5" s="211">
        <v>9</v>
      </c>
      <c r="H5" s="211" t="s">
        <v>52</v>
      </c>
      <c r="I5" s="211" t="s">
        <v>53</v>
      </c>
      <c r="J5" s="211">
        <v>10</v>
      </c>
      <c r="K5" s="211" t="s">
        <v>54</v>
      </c>
      <c r="L5" s="211">
        <v>11</v>
      </c>
      <c r="M5" s="211">
        <v>12</v>
      </c>
      <c r="N5" s="211">
        <v>13</v>
      </c>
      <c r="O5" s="211">
        <v>15</v>
      </c>
      <c r="P5" s="211">
        <v>15</v>
      </c>
      <c r="Q5" s="211">
        <v>16</v>
      </c>
      <c r="R5" s="211">
        <v>17</v>
      </c>
      <c r="S5" s="211">
        <v>18</v>
      </c>
      <c r="T5" s="211">
        <v>19</v>
      </c>
      <c r="U5" s="211">
        <v>20</v>
      </c>
      <c r="V5" s="211">
        <v>21</v>
      </c>
      <c r="W5" s="211">
        <v>22</v>
      </c>
      <c r="X5" s="211">
        <v>23</v>
      </c>
      <c r="Y5" s="211" t="s">
        <v>55</v>
      </c>
      <c r="Z5" s="211">
        <v>24</v>
      </c>
      <c r="AA5" s="610"/>
    </row>
    <row r="6" spans="1:27" s="206" customFormat="1" ht="22.5" customHeight="1">
      <c r="A6" s="606"/>
      <c r="B6" s="211" t="s">
        <v>56</v>
      </c>
      <c r="C6" s="212">
        <v>1</v>
      </c>
      <c r="D6" s="212">
        <v>2</v>
      </c>
      <c r="E6" s="212">
        <v>3</v>
      </c>
      <c r="F6" s="212">
        <v>4</v>
      </c>
      <c r="G6" s="212">
        <v>5</v>
      </c>
      <c r="H6" s="212">
        <v>6</v>
      </c>
      <c r="I6" s="212">
        <v>7</v>
      </c>
      <c r="J6" s="212">
        <v>8</v>
      </c>
      <c r="K6" s="212">
        <v>9</v>
      </c>
      <c r="L6" s="212">
        <v>10</v>
      </c>
      <c r="M6" s="212">
        <v>11</v>
      </c>
      <c r="N6" s="212">
        <v>12</v>
      </c>
      <c r="O6" s="212">
        <v>13</v>
      </c>
      <c r="P6" s="212">
        <v>14</v>
      </c>
      <c r="Q6" s="212">
        <v>15</v>
      </c>
      <c r="R6" s="212">
        <v>16</v>
      </c>
      <c r="S6" s="212">
        <v>17</v>
      </c>
      <c r="T6" s="212">
        <v>18</v>
      </c>
      <c r="U6" s="212">
        <v>19</v>
      </c>
      <c r="V6" s="212">
        <v>20</v>
      </c>
      <c r="W6" s="212">
        <v>21</v>
      </c>
      <c r="X6" s="212">
        <v>22</v>
      </c>
      <c r="Y6" s="212">
        <v>23</v>
      </c>
      <c r="Z6" s="212">
        <v>24</v>
      </c>
      <c r="AA6" s="610"/>
    </row>
    <row r="7" spans="1:27" s="206" customFormat="1" ht="22.5" customHeight="1">
      <c r="A7" s="606"/>
      <c r="B7" s="213" t="s">
        <v>57</v>
      </c>
      <c r="C7" s="608" t="s">
        <v>58</v>
      </c>
      <c r="D7" s="608"/>
      <c r="E7" s="608"/>
      <c r="F7" s="608"/>
      <c r="G7" s="608"/>
      <c r="H7" s="608"/>
      <c r="I7" s="608"/>
      <c r="J7" s="608"/>
      <c r="K7" s="608"/>
      <c r="L7" s="608"/>
      <c r="M7" s="608"/>
      <c r="N7" s="608"/>
      <c r="O7" s="608"/>
      <c r="P7" s="608"/>
      <c r="Q7" s="608"/>
      <c r="R7" s="608"/>
      <c r="S7" s="608"/>
      <c r="T7" s="608"/>
      <c r="U7" s="608"/>
      <c r="V7" s="608"/>
      <c r="W7" s="608"/>
      <c r="X7" s="608"/>
      <c r="Y7" s="608"/>
      <c r="Z7" s="608"/>
      <c r="AA7" s="610"/>
    </row>
    <row r="8" spans="1:27" s="206" customFormat="1" ht="22.5" customHeight="1">
      <c r="A8" s="606"/>
      <c r="B8" s="209">
        <v>1</v>
      </c>
      <c r="C8" s="214">
        <v>17700</v>
      </c>
      <c r="D8" s="214">
        <v>17900</v>
      </c>
      <c r="E8" s="214">
        <v>18200</v>
      </c>
      <c r="F8" s="214">
        <v>19200</v>
      </c>
      <c r="G8" s="214">
        <v>20800</v>
      </c>
      <c r="H8" s="214">
        <v>21500</v>
      </c>
      <c r="I8" s="214">
        <v>22400</v>
      </c>
      <c r="J8" s="214">
        <v>26300</v>
      </c>
      <c r="K8" s="214">
        <v>28700</v>
      </c>
      <c r="L8" s="209">
        <v>33800</v>
      </c>
      <c r="M8" s="209">
        <v>37800</v>
      </c>
      <c r="N8" s="209">
        <v>44300</v>
      </c>
      <c r="O8" s="209">
        <v>53100</v>
      </c>
      <c r="P8" s="214">
        <v>56100</v>
      </c>
      <c r="Q8" s="214">
        <v>60700</v>
      </c>
      <c r="R8" s="214">
        <v>67300</v>
      </c>
      <c r="S8" s="214">
        <v>71000</v>
      </c>
      <c r="T8" s="214">
        <v>75300</v>
      </c>
      <c r="U8" s="214">
        <v>79900</v>
      </c>
      <c r="V8" s="214">
        <v>88900</v>
      </c>
      <c r="W8" s="209">
        <v>123100</v>
      </c>
      <c r="X8" s="209">
        <v>129700</v>
      </c>
      <c r="Y8" s="209">
        <v>145800</v>
      </c>
      <c r="Z8" s="209">
        <v>148800</v>
      </c>
      <c r="AA8" s="610"/>
    </row>
    <row r="9" spans="1:27" s="206" customFormat="1" ht="22.5" customHeight="1">
      <c r="A9" s="606"/>
      <c r="B9" s="209">
        <v>2</v>
      </c>
      <c r="C9" s="214">
        <v>18200</v>
      </c>
      <c r="D9" s="214">
        <v>18400</v>
      </c>
      <c r="E9" s="214">
        <v>18700</v>
      </c>
      <c r="F9" s="214">
        <v>19800</v>
      </c>
      <c r="G9" s="214">
        <v>21400</v>
      </c>
      <c r="H9" s="214">
        <v>22100</v>
      </c>
      <c r="I9" s="214">
        <v>23100</v>
      </c>
      <c r="J9" s="214">
        <v>27100</v>
      </c>
      <c r="K9" s="214">
        <v>29600</v>
      </c>
      <c r="L9" s="209">
        <v>34800</v>
      </c>
      <c r="M9" s="209">
        <v>38900</v>
      </c>
      <c r="N9" s="209">
        <v>45600</v>
      </c>
      <c r="O9" s="209">
        <v>54700</v>
      </c>
      <c r="P9" s="214">
        <v>57800</v>
      </c>
      <c r="Q9" s="214">
        <v>62500</v>
      </c>
      <c r="R9" s="214">
        <v>69300</v>
      </c>
      <c r="S9" s="214">
        <v>73100</v>
      </c>
      <c r="T9" s="214">
        <v>77600</v>
      </c>
      <c r="U9" s="214">
        <v>82300</v>
      </c>
      <c r="V9" s="214">
        <v>91600</v>
      </c>
      <c r="W9" s="209">
        <v>126800</v>
      </c>
      <c r="X9" s="209">
        <v>133600</v>
      </c>
      <c r="Y9" s="209">
        <v>150200</v>
      </c>
      <c r="Z9" s="209">
        <v>153300</v>
      </c>
      <c r="AA9" s="610"/>
    </row>
    <row r="10" spans="1:27" s="206" customFormat="1" ht="22.5" customHeight="1">
      <c r="A10" s="606"/>
      <c r="B10" s="209">
        <v>3</v>
      </c>
      <c r="C10" s="214">
        <v>18700</v>
      </c>
      <c r="D10" s="214">
        <v>19000</v>
      </c>
      <c r="E10" s="214">
        <v>19300</v>
      </c>
      <c r="F10" s="214">
        <v>20400</v>
      </c>
      <c r="G10" s="214">
        <v>22000</v>
      </c>
      <c r="H10" s="214">
        <v>22800</v>
      </c>
      <c r="I10" s="214">
        <v>23800</v>
      </c>
      <c r="J10" s="214">
        <v>27900</v>
      </c>
      <c r="K10" s="214">
        <v>30500</v>
      </c>
      <c r="L10" s="209">
        <v>35800</v>
      </c>
      <c r="M10" s="209">
        <v>40100</v>
      </c>
      <c r="N10" s="209">
        <v>47000</v>
      </c>
      <c r="O10" s="209">
        <v>56300</v>
      </c>
      <c r="P10" s="214">
        <v>59500</v>
      </c>
      <c r="Q10" s="214">
        <v>64400</v>
      </c>
      <c r="R10" s="214">
        <v>71400</v>
      </c>
      <c r="S10" s="214">
        <v>75300</v>
      </c>
      <c r="T10" s="214">
        <v>79900</v>
      </c>
      <c r="U10" s="214">
        <v>84800</v>
      </c>
      <c r="V10" s="214">
        <v>94300</v>
      </c>
      <c r="W10" s="209">
        <v>130600</v>
      </c>
      <c r="X10" s="209">
        <v>137600</v>
      </c>
      <c r="Y10" s="209">
        <v>154700</v>
      </c>
      <c r="Z10" s="209">
        <v>157900</v>
      </c>
      <c r="AA10" s="610"/>
    </row>
    <row r="11" spans="1:27" s="206" customFormat="1" ht="22.5" customHeight="1">
      <c r="A11" s="606"/>
      <c r="B11" s="209">
        <v>4</v>
      </c>
      <c r="C11" s="214">
        <v>19300</v>
      </c>
      <c r="D11" s="214">
        <v>19600</v>
      </c>
      <c r="E11" s="214">
        <v>19900</v>
      </c>
      <c r="F11" s="214">
        <v>21000</v>
      </c>
      <c r="G11" s="214">
        <v>22700</v>
      </c>
      <c r="H11" s="214">
        <v>23500</v>
      </c>
      <c r="I11" s="214">
        <v>24500</v>
      </c>
      <c r="J11" s="214">
        <v>28700</v>
      </c>
      <c r="K11" s="214">
        <v>31400</v>
      </c>
      <c r="L11" s="209">
        <v>36900</v>
      </c>
      <c r="M11" s="209">
        <v>41300</v>
      </c>
      <c r="N11" s="209">
        <v>48400</v>
      </c>
      <c r="O11" s="209">
        <v>58000</v>
      </c>
      <c r="P11" s="214">
        <v>61300</v>
      </c>
      <c r="Q11" s="214">
        <v>66300</v>
      </c>
      <c r="R11" s="214">
        <v>73500</v>
      </c>
      <c r="S11" s="214">
        <v>77600</v>
      </c>
      <c r="T11" s="214">
        <v>82300</v>
      </c>
      <c r="U11" s="214">
        <v>87300</v>
      </c>
      <c r="V11" s="214">
        <v>97100</v>
      </c>
      <c r="W11" s="209">
        <v>134500</v>
      </c>
      <c r="X11" s="209">
        <v>141700</v>
      </c>
      <c r="Y11" s="209">
        <v>159300</v>
      </c>
      <c r="Z11" s="209">
        <v>162600</v>
      </c>
      <c r="AA11" s="610"/>
    </row>
    <row r="12" spans="1:27" s="206" customFormat="1" ht="22.5" customHeight="1">
      <c r="A12" s="606"/>
      <c r="B12" s="209">
        <v>5</v>
      </c>
      <c r="C12" s="214">
        <v>19900</v>
      </c>
      <c r="D12" s="214">
        <v>20200</v>
      </c>
      <c r="E12" s="214">
        <v>20500</v>
      </c>
      <c r="F12" s="214">
        <v>21600</v>
      </c>
      <c r="G12" s="214">
        <v>23400</v>
      </c>
      <c r="H12" s="214">
        <v>24200</v>
      </c>
      <c r="I12" s="214">
        <v>25200</v>
      </c>
      <c r="J12" s="214">
        <v>29600</v>
      </c>
      <c r="K12" s="214">
        <v>32300</v>
      </c>
      <c r="L12" s="209">
        <v>38000</v>
      </c>
      <c r="M12" s="209">
        <v>42500</v>
      </c>
      <c r="N12" s="209">
        <v>49900</v>
      </c>
      <c r="O12" s="209">
        <v>59700</v>
      </c>
      <c r="P12" s="214">
        <v>63100</v>
      </c>
      <c r="Q12" s="214">
        <v>68300</v>
      </c>
      <c r="R12" s="214">
        <v>75700</v>
      </c>
      <c r="S12" s="214">
        <v>79900</v>
      </c>
      <c r="T12" s="214">
        <v>84800</v>
      </c>
      <c r="U12" s="214">
        <v>89900</v>
      </c>
      <c r="V12" s="214">
        <v>100000</v>
      </c>
      <c r="W12" s="209">
        <v>138500</v>
      </c>
      <c r="X12" s="209">
        <v>146000</v>
      </c>
      <c r="Y12" s="209">
        <v>164100</v>
      </c>
      <c r="Z12" s="209">
        <v>167500</v>
      </c>
      <c r="AA12" s="610"/>
    </row>
    <row r="13" spans="1:27" s="206" customFormat="1" ht="22.5" customHeight="1">
      <c r="A13" s="606"/>
      <c r="B13" s="209">
        <v>6</v>
      </c>
      <c r="C13" s="214">
        <v>20500</v>
      </c>
      <c r="D13" s="214">
        <v>20800</v>
      </c>
      <c r="E13" s="214">
        <v>21100</v>
      </c>
      <c r="F13" s="214">
        <v>22200</v>
      </c>
      <c r="G13" s="214">
        <v>24100</v>
      </c>
      <c r="H13" s="214">
        <v>24900</v>
      </c>
      <c r="I13" s="214">
        <v>26000</v>
      </c>
      <c r="J13" s="214">
        <v>30500</v>
      </c>
      <c r="K13" s="214">
        <v>33300</v>
      </c>
      <c r="L13" s="209">
        <v>39100</v>
      </c>
      <c r="M13" s="209">
        <v>43800</v>
      </c>
      <c r="N13" s="209">
        <v>51400</v>
      </c>
      <c r="O13" s="209">
        <v>61500</v>
      </c>
      <c r="P13" s="214">
        <v>65000</v>
      </c>
      <c r="Q13" s="214">
        <v>70300</v>
      </c>
      <c r="R13" s="214">
        <v>78000</v>
      </c>
      <c r="S13" s="214">
        <v>82300</v>
      </c>
      <c r="T13" s="214">
        <v>87300</v>
      </c>
      <c r="U13" s="214">
        <v>92600</v>
      </c>
      <c r="V13" s="214">
        <v>103000</v>
      </c>
      <c r="W13" s="209">
        <v>142700</v>
      </c>
      <c r="X13" s="209">
        <v>150400</v>
      </c>
      <c r="Y13" s="209">
        <v>169000</v>
      </c>
      <c r="Z13" s="209">
        <v>172500</v>
      </c>
      <c r="AA13" s="610"/>
    </row>
    <row r="14" spans="1:27" s="206" customFormat="1" ht="22.5" customHeight="1">
      <c r="A14" s="606"/>
      <c r="B14" s="209">
        <v>7</v>
      </c>
      <c r="C14" s="214">
        <v>21100</v>
      </c>
      <c r="D14" s="214">
        <v>21400</v>
      </c>
      <c r="E14" s="214">
        <v>21700</v>
      </c>
      <c r="F14" s="214">
        <v>22900</v>
      </c>
      <c r="G14" s="214">
        <v>24800</v>
      </c>
      <c r="H14" s="214">
        <v>25600</v>
      </c>
      <c r="I14" s="214">
        <v>26800</v>
      </c>
      <c r="J14" s="214">
        <v>31400</v>
      </c>
      <c r="K14" s="214">
        <v>34300</v>
      </c>
      <c r="L14" s="209">
        <v>40300</v>
      </c>
      <c r="M14" s="209">
        <v>45100</v>
      </c>
      <c r="N14" s="209">
        <v>52900</v>
      </c>
      <c r="O14" s="209">
        <v>63300</v>
      </c>
      <c r="P14" s="214">
        <v>67000</v>
      </c>
      <c r="Q14" s="214">
        <v>72400</v>
      </c>
      <c r="R14" s="214">
        <v>80300</v>
      </c>
      <c r="S14" s="214">
        <v>84800</v>
      </c>
      <c r="T14" s="214">
        <v>89900</v>
      </c>
      <c r="U14" s="214">
        <v>95400</v>
      </c>
      <c r="V14" s="214">
        <v>106100</v>
      </c>
      <c r="W14" s="209">
        <v>147000</v>
      </c>
      <c r="X14" s="209">
        <v>154900</v>
      </c>
      <c r="Y14" s="209">
        <v>174100</v>
      </c>
      <c r="Z14" s="209">
        <v>177700</v>
      </c>
      <c r="AA14" s="610"/>
    </row>
    <row r="15" spans="1:27" s="206" customFormat="1" ht="22.5" customHeight="1">
      <c r="A15" s="606"/>
      <c r="B15" s="209">
        <v>8</v>
      </c>
      <c r="C15" s="214">
        <v>21700</v>
      </c>
      <c r="D15" s="214">
        <v>22000</v>
      </c>
      <c r="E15" s="214">
        <v>22400</v>
      </c>
      <c r="F15" s="214">
        <v>23600</v>
      </c>
      <c r="G15" s="214">
        <v>25500</v>
      </c>
      <c r="H15" s="214">
        <v>26400</v>
      </c>
      <c r="I15" s="214">
        <v>27600</v>
      </c>
      <c r="J15" s="214">
        <v>32300</v>
      </c>
      <c r="K15" s="214">
        <v>35300</v>
      </c>
      <c r="L15" s="209">
        <v>41500</v>
      </c>
      <c r="M15" s="209">
        <v>46500</v>
      </c>
      <c r="N15" s="209">
        <v>54500</v>
      </c>
      <c r="O15" s="209">
        <v>65200</v>
      </c>
      <c r="P15" s="214">
        <v>69000</v>
      </c>
      <c r="Q15" s="214">
        <v>74600</v>
      </c>
      <c r="R15" s="214">
        <v>82700</v>
      </c>
      <c r="S15" s="214">
        <v>87300</v>
      </c>
      <c r="T15" s="214">
        <v>92600</v>
      </c>
      <c r="U15" s="214">
        <v>98300</v>
      </c>
      <c r="V15" s="214">
        <v>109300</v>
      </c>
      <c r="W15" s="209">
        <v>151400</v>
      </c>
      <c r="X15" s="209">
        <v>159500</v>
      </c>
      <c r="Y15" s="209">
        <v>179300</v>
      </c>
      <c r="Z15" s="209">
        <v>183000</v>
      </c>
      <c r="AA15" s="610"/>
    </row>
    <row r="16" spans="1:27" s="206" customFormat="1" ht="22.5" customHeight="1">
      <c r="A16" s="606"/>
      <c r="B16" s="209">
        <v>9</v>
      </c>
      <c r="C16" s="214">
        <v>22400</v>
      </c>
      <c r="D16" s="214">
        <v>22700</v>
      </c>
      <c r="E16" s="214">
        <v>23100</v>
      </c>
      <c r="F16" s="214">
        <v>24300</v>
      </c>
      <c r="G16" s="214">
        <v>26300</v>
      </c>
      <c r="H16" s="214">
        <v>27200</v>
      </c>
      <c r="I16" s="214">
        <v>28400</v>
      </c>
      <c r="J16" s="214">
        <v>33300</v>
      </c>
      <c r="K16" s="214">
        <v>36400</v>
      </c>
      <c r="L16" s="209">
        <v>42700</v>
      </c>
      <c r="M16" s="209">
        <v>47900</v>
      </c>
      <c r="N16" s="209">
        <v>56100</v>
      </c>
      <c r="O16" s="209">
        <v>67200</v>
      </c>
      <c r="P16" s="214">
        <v>71100</v>
      </c>
      <c r="Q16" s="214">
        <v>76800</v>
      </c>
      <c r="R16" s="214">
        <v>85200</v>
      </c>
      <c r="S16" s="214">
        <v>89900</v>
      </c>
      <c r="T16" s="214">
        <v>95400</v>
      </c>
      <c r="U16" s="214">
        <v>101200</v>
      </c>
      <c r="V16" s="214">
        <v>112600</v>
      </c>
      <c r="W16" s="209">
        <v>155900</v>
      </c>
      <c r="X16" s="209">
        <v>164300</v>
      </c>
      <c r="Y16" s="209">
        <v>184700</v>
      </c>
      <c r="Z16" s="209">
        <v>188500</v>
      </c>
      <c r="AA16" s="610"/>
    </row>
    <row r="17" spans="1:27" s="206" customFormat="1" ht="22.5" customHeight="1">
      <c r="A17" s="606"/>
      <c r="B17" s="209">
        <v>10</v>
      </c>
      <c r="C17" s="214">
        <v>23100</v>
      </c>
      <c r="D17" s="214">
        <v>23400</v>
      </c>
      <c r="E17" s="214">
        <v>23800</v>
      </c>
      <c r="F17" s="214">
        <v>25000</v>
      </c>
      <c r="G17" s="214">
        <v>27100</v>
      </c>
      <c r="H17" s="214">
        <v>28000</v>
      </c>
      <c r="I17" s="214">
        <v>29300</v>
      </c>
      <c r="J17" s="214">
        <v>34300</v>
      </c>
      <c r="K17" s="214">
        <v>37500</v>
      </c>
      <c r="L17" s="209">
        <v>44000</v>
      </c>
      <c r="M17" s="209">
        <v>49300</v>
      </c>
      <c r="N17" s="209">
        <v>57800</v>
      </c>
      <c r="O17" s="209">
        <v>69200</v>
      </c>
      <c r="P17" s="214">
        <v>73200</v>
      </c>
      <c r="Q17" s="214">
        <v>79100</v>
      </c>
      <c r="R17" s="214">
        <v>87800</v>
      </c>
      <c r="S17" s="214">
        <v>92600</v>
      </c>
      <c r="T17" s="214">
        <v>98300</v>
      </c>
      <c r="U17" s="214">
        <v>104200</v>
      </c>
      <c r="V17" s="214">
        <v>116000</v>
      </c>
      <c r="W17" s="209">
        <v>160600</v>
      </c>
      <c r="X17" s="209">
        <v>169200</v>
      </c>
      <c r="Y17" s="209">
        <v>190200</v>
      </c>
      <c r="Z17" s="209">
        <v>194200</v>
      </c>
      <c r="AA17" s="610"/>
    </row>
    <row r="18" spans="1:27" s="206" customFormat="1" ht="22.5" customHeight="1">
      <c r="A18" s="606"/>
      <c r="B18" s="209">
        <v>11</v>
      </c>
      <c r="C18" s="214">
        <v>23800</v>
      </c>
      <c r="D18" s="214">
        <v>24100</v>
      </c>
      <c r="E18" s="214">
        <v>24500</v>
      </c>
      <c r="F18" s="214">
        <v>25800</v>
      </c>
      <c r="G18" s="214">
        <v>27900</v>
      </c>
      <c r="H18" s="214">
        <v>28800</v>
      </c>
      <c r="I18" s="214">
        <v>30200</v>
      </c>
      <c r="J18" s="214">
        <v>35300</v>
      </c>
      <c r="K18" s="214">
        <v>38600</v>
      </c>
      <c r="L18" s="209">
        <v>45300</v>
      </c>
      <c r="M18" s="209">
        <v>50800</v>
      </c>
      <c r="N18" s="209">
        <v>59500</v>
      </c>
      <c r="O18" s="209">
        <v>71300</v>
      </c>
      <c r="P18" s="214">
        <v>75400</v>
      </c>
      <c r="Q18" s="214">
        <v>81500</v>
      </c>
      <c r="R18" s="214">
        <v>90400</v>
      </c>
      <c r="S18" s="214">
        <v>95400</v>
      </c>
      <c r="T18" s="214">
        <v>101200</v>
      </c>
      <c r="U18" s="214">
        <v>107300</v>
      </c>
      <c r="V18" s="214">
        <v>119500</v>
      </c>
      <c r="W18" s="209">
        <v>165400</v>
      </c>
      <c r="X18" s="209">
        <v>174300</v>
      </c>
      <c r="Y18" s="209">
        <v>195900</v>
      </c>
      <c r="Z18" s="209">
        <v>200000</v>
      </c>
      <c r="AA18" s="610"/>
    </row>
    <row r="19" spans="1:27" s="206" customFormat="1" ht="22.5" customHeight="1">
      <c r="A19" s="606"/>
      <c r="B19" s="209">
        <v>12</v>
      </c>
      <c r="C19" s="214">
        <v>24500</v>
      </c>
      <c r="D19" s="214">
        <v>24800</v>
      </c>
      <c r="E19" s="214">
        <v>25200</v>
      </c>
      <c r="F19" s="214">
        <v>26600</v>
      </c>
      <c r="G19" s="214">
        <v>28700</v>
      </c>
      <c r="H19" s="214">
        <v>29700</v>
      </c>
      <c r="I19" s="214">
        <v>31100</v>
      </c>
      <c r="J19" s="214">
        <v>36400</v>
      </c>
      <c r="K19" s="214">
        <v>39800</v>
      </c>
      <c r="L19" s="209">
        <v>46700</v>
      </c>
      <c r="M19" s="209">
        <v>52300</v>
      </c>
      <c r="N19" s="209">
        <v>61300</v>
      </c>
      <c r="O19" s="209">
        <v>73400</v>
      </c>
      <c r="P19" s="214">
        <v>77700</v>
      </c>
      <c r="Q19" s="214">
        <v>83900</v>
      </c>
      <c r="R19" s="214">
        <v>93100</v>
      </c>
      <c r="S19" s="214">
        <v>98300</v>
      </c>
      <c r="T19" s="214">
        <v>104200</v>
      </c>
      <c r="U19" s="214">
        <v>110500</v>
      </c>
      <c r="V19" s="214">
        <v>123100</v>
      </c>
      <c r="W19" s="209">
        <v>170400</v>
      </c>
      <c r="X19" s="209">
        <v>179500</v>
      </c>
      <c r="Y19" s="209">
        <v>201800</v>
      </c>
      <c r="Z19" s="209">
        <v>206000</v>
      </c>
      <c r="AA19" s="610"/>
    </row>
    <row r="20" spans="1:27" s="206" customFormat="1" ht="22.5" customHeight="1">
      <c r="A20" s="606"/>
      <c r="B20" s="209">
        <v>13</v>
      </c>
      <c r="C20" s="214">
        <v>25200</v>
      </c>
      <c r="D20" s="214">
        <v>25500</v>
      </c>
      <c r="E20" s="214">
        <v>26000</v>
      </c>
      <c r="F20" s="214">
        <v>27400</v>
      </c>
      <c r="G20" s="214">
        <v>29600</v>
      </c>
      <c r="H20" s="214">
        <v>30600</v>
      </c>
      <c r="I20" s="214">
        <v>32000</v>
      </c>
      <c r="J20" s="214">
        <v>37500</v>
      </c>
      <c r="K20" s="214">
        <v>41000</v>
      </c>
      <c r="L20" s="209">
        <v>48100</v>
      </c>
      <c r="M20" s="209">
        <v>53900</v>
      </c>
      <c r="N20" s="209">
        <v>63100</v>
      </c>
      <c r="O20" s="209">
        <v>75600</v>
      </c>
      <c r="P20" s="214">
        <v>80000</v>
      </c>
      <c r="Q20" s="214">
        <v>86400</v>
      </c>
      <c r="R20" s="214">
        <v>95900</v>
      </c>
      <c r="S20" s="214">
        <v>101200</v>
      </c>
      <c r="T20" s="214">
        <v>107300</v>
      </c>
      <c r="U20" s="214">
        <v>113800</v>
      </c>
      <c r="V20" s="214">
        <v>126800</v>
      </c>
      <c r="W20" s="209">
        <v>175500</v>
      </c>
      <c r="X20" s="209">
        <v>184900</v>
      </c>
      <c r="Y20" s="209">
        <v>207900</v>
      </c>
      <c r="Z20" s="209">
        <v>212200</v>
      </c>
      <c r="AA20" s="610"/>
    </row>
    <row r="21" spans="1:27" s="206" customFormat="1" ht="22.5" customHeight="1">
      <c r="A21" s="606"/>
      <c r="B21" s="209">
        <v>14</v>
      </c>
      <c r="C21" s="214">
        <v>26000</v>
      </c>
      <c r="D21" s="214">
        <v>26300</v>
      </c>
      <c r="E21" s="214">
        <v>26800</v>
      </c>
      <c r="F21" s="214">
        <v>28200</v>
      </c>
      <c r="G21" s="214">
        <v>30500</v>
      </c>
      <c r="H21" s="214">
        <v>31500</v>
      </c>
      <c r="I21" s="214">
        <v>33000</v>
      </c>
      <c r="J21" s="214">
        <v>38600</v>
      </c>
      <c r="K21" s="214">
        <v>42200</v>
      </c>
      <c r="L21" s="209">
        <v>49500</v>
      </c>
      <c r="M21" s="209">
        <v>55500</v>
      </c>
      <c r="N21" s="209">
        <v>65000</v>
      </c>
      <c r="O21" s="209">
        <v>77900</v>
      </c>
      <c r="P21" s="214">
        <v>82400</v>
      </c>
      <c r="Q21" s="214">
        <v>89000</v>
      </c>
      <c r="R21" s="214">
        <v>98800</v>
      </c>
      <c r="S21" s="214">
        <v>104200</v>
      </c>
      <c r="T21" s="214">
        <v>110500</v>
      </c>
      <c r="U21" s="214">
        <v>117200</v>
      </c>
      <c r="V21" s="214">
        <v>130600</v>
      </c>
      <c r="W21" s="209">
        <v>180800</v>
      </c>
      <c r="X21" s="209">
        <v>190400</v>
      </c>
      <c r="Y21" s="209">
        <v>214100</v>
      </c>
      <c r="Z21" s="209">
        <v>218600</v>
      </c>
      <c r="AA21" s="610"/>
    </row>
    <row r="22" spans="1:27" s="206" customFormat="1" ht="22.5" customHeight="1">
      <c r="A22" s="606"/>
      <c r="B22" s="209">
        <v>15</v>
      </c>
      <c r="C22" s="214">
        <v>26800</v>
      </c>
      <c r="D22" s="214">
        <v>27100</v>
      </c>
      <c r="E22" s="214">
        <v>27600</v>
      </c>
      <c r="F22" s="214">
        <v>29000</v>
      </c>
      <c r="G22" s="214">
        <v>31400</v>
      </c>
      <c r="H22" s="214">
        <v>32400</v>
      </c>
      <c r="I22" s="214">
        <v>34000</v>
      </c>
      <c r="J22" s="214">
        <v>39800</v>
      </c>
      <c r="K22" s="214">
        <v>43500</v>
      </c>
      <c r="L22" s="209">
        <v>51000</v>
      </c>
      <c r="M22" s="209">
        <v>57200</v>
      </c>
      <c r="N22" s="209">
        <v>67000</v>
      </c>
      <c r="O22" s="209">
        <v>80200</v>
      </c>
      <c r="P22" s="214">
        <v>84900</v>
      </c>
      <c r="Q22" s="214">
        <v>91700</v>
      </c>
      <c r="R22" s="214">
        <v>101800</v>
      </c>
      <c r="S22" s="214">
        <v>107300</v>
      </c>
      <c r="T22" s="214">
        <v>113800</v>
      </c>
      <c r="U22" s="214">
        <v>120700</v>
      </c>
      <c r="V22" s="214">
        <v>134500</v>
      </c>
      <c r="W22" s="209">
        <v>186200</v>
      </c>
      <c r="X22" s="209">
        <v>196100</v>
      </c>
      <c r="Y22" s="209"/>
      <c r="Z22" s="209"/>
      <c r="AA22" s="610"/>
    </row>
    <row r="23" spans="1:27" s="206" customFormat="1" ht="22.5" customHeight="1">
      <c r="A23" s="606"/>
      <c r="B23" s="209">
        <v>16</v>
      </c>
      <c r="C23" s="214">
        <v>27600</v>
      </c>
      <c r="D23" s="214">
        <v>27900</v>
      </c>
      <c r="E23" s="214">
        <v>28400</v>
      </c>
      <c r="F23" s="214">
        <v>29900</v>
      </c>
      <c r="G23" s="214">
        <v>32300</v>
      </c>
      <c r="H23" s="214">
        <v>33400</v>
      </c>
      <c r="I23" s="214">
        <v>35000</v>
      </c>
      <c r="J23" s="214">
        <v>41000</v>
      </c>
      <c r="K23" s="214">
        <v>44800</v>
      </c>
      <c r="L23" s="209">
        <v>52500</v>
      </c>
      <c r="M23" s="209">
        <v>58900</v>
      </c>
      <c r="N23" s="209">
        <v>69000</v>
      </c>
      <c r="O23" s="209">
        <v>82600</v>
      </c>
      <c r="P23" s="214">
        <v>87400</v>
      </c>
      <c r="Q23" s="214">
        <v>94500</v>
      </c>
      <c r="R23" s="214">
        <v>104900</v>
      </c>
      <c r="S23" s="214">
        <v>110500</v>
      </c>
      <c r="T23" s="214">
        <v>117200</v>
      </c>
      <c r="U23" s="214">
        <v>124300</v>
      </c>
      <c r="V23" s="214">
        <v>138500</v>
      </c>
      <c r="W23" s="209">
        <v>191800</v>
      </c>
      <c r="X23" s="209">
        <v>202000</v>
      </c>
      <c r="Y23" s="209"/>
      <c r="Z23" s="209"/>
      <c r="AA23" s="610"/>
    </row>
    <row r="24" spans="1:27" s="206" customFormat="1" ht="22.5" customHeight="1">
      <c r="A24" s="606"/>
      <c r="B24" s="209">
        <v>17</v>
      </c>
      <c r="C24" s="214">
        <v>28400</v>
      </c>
      <c r="D24" s="214">
        <v>28700</v>
      </c>
      <c r="E24" s="214">
        <v>29300</v>
      </c>
      <c r="F24" s="214">
        <v>30800</v>
      </c>
      <c r="G24" s="214">
        <v>33300</v>
      </c>
      <c r="H24" s="214">
        <v>34400</v>
      </c>
      <c r="I24" s="214">
        <v>36100</v>
      </c>
      <c r="J24" s="214">
        <v>42200</v>
      </c>
      <c r="K24" s="214">
        <v>46100</v>
      </c>
      <c r="L24" s="209">
        <v>54100</v>
      </c>
      <c r="M24" s="209">
        <v>60700</v>
      </c>
      <c r="N24" s="209">
        <v>71100</v>
      </c>
      <c r="O24" s="209">
        <v>85100</v>
      </c>
      <c r="P24" s="214">
        <v>90000</v>
      </c>
      <c r="Q24" s="214">
        <v>97300</v>
      </c>
      <c r="R24" s="214">
        <v>108000</v>
      </c>
      <c r="S24" s="214">
        <v>113800</v>
      </c>
      <c r="T24" s="214">
        <v>120700</v>
      </c>
      <c r="U24" s="214">
        <v>128000</v>
      </c>
      <c r="V24" s="214">
        <v>142700</v>
      </c>
      <c r="W24" s="209">
        <v>197600</v>
      </c>
      <c r="X24" s="209">
        <v>208100</v>
      </c>
      <c r="Y24" s="209"/>
      <c r="Z24" s="209"/>
      <c r="AA24" s="610"/>
    </row>
    <row r="25" spans="1:27" s="206" customFormat="1" ht="22.5" customHeight="1">
      <c r="A25" s="606"/>
      <c r="B25" s="209">
        <v>18</v>
      </c>
      <c r="C25" s="214">
        <v>29300</v>
      </c>
      <c r="D25" s="214">
        <v>29600</v>
      </c>
      <c r="E25" s="214">
        <v>30200</v>
      </c>
      <c r="F25" s="214">
        <v>31700</v>
      </c>
      <c r="G25" s="214">
        <v>34300</v>
      </c>
      <c r="H25" s="214">
        <v>35400</v>
      </c>
      <c r="I25" s="214">
        <v>37200</v>
      </c>
      <c r="J25" s="214">
        <v>43500</v>
      </c>
      <c r="K25" s="214">
        <v>47500</v>
      </c>
      <c r="L25" s="209">
        <v>55700</v>
      </c>
      <c r="M25" s="209">
        <v>62500</v>
      </c>
      <c r="N25" s="209">
        <v>73200</v>
      </c>
      <c r="O25" s="209">
        <v>87700</v>
      </c>
      <c r="P25" s="214">
        <v>92700</v>
      </c>
      <c r="Q25" s="214">
        <v>100200</v>
      </c>
      <c r="R25" s="214">
        <v>111200</v>
      </c>
      <c r="S25" s="214">
        <v>117200</v>
      </c>
      <c r="T25" s="214">
        <v>124300</v>
      </c>
      <c r="U25" s="214">
        <v>131800</v>
      </c>
      <c r="V25" s="214">
        <v>147000</v>
      </c>
      <c r="W25" s="209">
        <v>203500</v>
      </c>
      <c r="X25" s="209"/>
      <c r="Y25" s="209"/>
      <c r="Z25" s="209"/>
      <c r="AA25" s="610"/>
    </row>
    <row r="26" spans="1:27" s="206" customFormat="1" ht="22.5" customHeight="1">
      <c r="A26" s="606"/>
      <c r="B26" s="209">
        <v>19</v>
      </c>
      <c r="C26" s="214">
        <v>30200</v>
      </c>
      <c r="D26" s="214">
        <v>30500</v>
      </c>
      <c r="E26" s="214">
        <v>31100</v>
      </c>
      <c r="F26" s="214">
        <v>32700</v>
      </c>
      <c r="G26" s="214">
        <v>35300</v>
      </c>
      <c r="H26" s="214">
        <v>36500</v>
      </c>
      <c r="I26" s="214">
        <v>38300</v>
      </c>
      <c r="J26" s="214">
        <v>44800</v>
      </c>
      <c r="K26" s="214">
        <v>48900</v>
      </c>
      <c r="L26" s="209">
        <v>57400</v>
      </c>
      <c r="M26" s="209">
        <v>64400</v>
      </c>
      <c r="N26" s="209">
        <v>75400</v>
      </c>
      <c r="O26" s="209">
        <v>90300</v>
      </c>
      <c r="P26" s="214">
        <v>95500</v>
      </c>
      <c r="Q26" s="214">
        <v>103200</v>
      </c>
      <c r="R26" s="214">
        <v>114500</v>
      </c>
      <c r="S26" s="214">
        <v>120700</v>
      </c>
      <c r="T26" s="214">
        <v>128000</v>
      </c>
      <c r="U26" s="214">
        <v>135800</v>
      </c>
      <c r="V26" s="214">
        <v>151400</v>
      </c>
      <c r="W26" s="209"/>
      <c r="X26" s="209"/>
      <c r="Y26" s="209"/>
      <c r="Z26" s="209"/>
      <c r="AA26" s="610"/>
    </row>
    <row r="27" spans="1:27" s="206" customFormat="1" ht="22.5" customHeight="1">
      <c r="A27" s="606"/>
      <c r="B27" s="209">
        <v>20</v>
      </c>
      <c r="C27" s="214">
        <v>31100</v>
      </c>
      <c r="D27" s="214">
        <v>31400</v>
      </c>
      <c r="E27" s="214">
        <v>32000</v>
      </c>
      <c r="F27" s="214">
        <v>33700</v>
      </c>
      <c r="G27" s="214">
        <v>36400</v>
      </c>
      <c r="H27" s="214">
        <v>37600</v>
      </c>
      <c r="I27" s="214">
        <v>39400</v>
      </c>
      <c r="J27" s="214">
        <v>46100</v>
      </c>
      <c r="K27" s="214">
        <v>50400</v>
      </c>
      <c r="L27" s="209">
        <v>59100</v>
      </c>
      <c r="M27" s="209">
        <v>66300</v>
      </c>
      <c r="N27" s="209">
        <v>77700</v>
      </c>
      <c r="O27" s="209">
        <v>93000</v>
      </c>
      <c r="P27" s="214">
        <v>98400</v>
      </c>
      <c r="Q27" s="214">
        <v>106300</v>
      </c>
      <c r="R27" s="214">
        <v>117900</v>
      </c>
      <c r="S27" s="214">
        <v>124300</v>
      </c>
      <c r="T27" s="214">
        <v>131800</v>
      </c>
      <c r="U27" s="214">
        <v>139900</v>
      </c>
      <c r="V27" s="214">
        <v>155900</v>
      </c>
      <c r="W27" s="209"/>
      <c r="X27" s="209"/>
      <c r="Y27" s="209"/>
      <c r="Z27" s="209"/>
      <c r="AA27" s="610"/>
    </row>
    <row r="28" spans="1:27" s="206" customFormat="1" ht="22.5" customHeight="1">
      <c r="A28" s="606"/>
      <c r="B28" s="209">
        <v>21</v>
      </c>
      <c r="C28" s="214">
        <v>32000</v>
      </c>
      <c r="D28" s="214">
        <v>32300</v>
      </c>
      <c r="E28" s="214">
        <v>33000</v>
      </c>
      <c r="F28" s="214">
        <v>34700</v>
      </c>
      <c r="G28" s="214">
        <v>37500</v>
      </c>
      <c r="H28" s="214">
        <v>38700</v>
      </c>
      <c r="I28" s="214">
        <v>40600</v>
      </c>
      <c r="J28" s="214">
        <v>47500</v>
      </c>
      <c r="K28" s="214">
        <v>51900</v>
      </c>
      <c r="L28" s="209">
        <v>60900</v>
      </c>
      <c r="M28" s="209">
        <v>68300</v>
      </c>
      <c r="N28" s="209">
        <v>80000</v>
      </c>
      <c r="O28" s="209">
        <v>95800</v>
      </c>
      <c r="P28" s="214">
        <v>101400</v>
      </c>
      <c r="Q28" s="214">
        <v>109500</v>
      </c>
      <c r="R28" s="214">
        <v>121400</v>
      </c>
      <c r="S28" s="214">
        <v>128000</v>
      </c>
      <c r="T28" s="214">
        <v>135800</v>
      </c>
      <c r="U28" s="214">
        <v>144100</v>
      </c>
      <c r="V28" s="214">
        <v>160600</v>
      </c>
      <c r="W28" s="209"/>
      <c r="X28" s="209"/>
      <c r="Y28" s="209"/>
      <c r="Z28" s="209"/>
      <c r="AA28" s="610"/>
    </row>
    <row r="29" spans="1:27" s="206" customFormat="1" ht="22.5" customHeight="1">
      <c r="A29" s="606"/>
      <c r="B29" s="209">
        <v>22</v>
      </c>
      <c r="C29" s="214">
        <v>33000</v>
      </c>
      <c r="D29" s="214">
        <v>33300</v>
      </c>
      <c r="E29" s="214">
        <v>34000</v>
      </c>
      <c r="F29" s="214">
        <v>35700</v>
      </c>
      <c r="G29" s="214">
        <v>38600</v>
      </c>
      <c r="H29" s="214">
        <v>39900</v>
      </c>
      <c r="I29" s="214">
        <v>41800</v>
      </c>
      <c r="J29" s="214">
        <v>48900</v>
      </c>
      <c r="K29" s="214">
        <v>53500</v>
      </c>
      <c r="L29" s="209">
        <v>62700</v>
      </c>
      <c r="M29" s="209">
        <v>70300</v>
      </c>
      <c r="N29" s="209">
        <v>82400</v>
      </c>
      <c r="O29" s="209">
        <v>98700</v>
      </c>
      <c r="P29" s="214">
        <v>104400</v>
      </c>
      <c r="Q29" s="214">
        <v>112800</v>
      </c>
      <c r="R29" s="214">
        <v>125000</v>
      </c>
      <c r="S29" s="214">
        <v>131800</v>
      </c>
      <c r="T29" s="214">
        <v>139900</v>
      </c>
      <c r="U29" s="214">
        <v>148400</v>
      </c>
      <c r="V29" s="214">
        <v>165400</v>
      </c>
      <c r="W29" s="209"/>
      <c r="X29" s="209"/>
      <c r="Y29" s="209"/>
      <c r="Z29" s="209"/>
      <c r="AA29" s="610"/>
    </row>
    <row r="30" spans="1:27" s="206" customFormat="1" ht="22.5" customHeight="1">
      <c r="A30" s="606"/>
      <c r="B30" s="209">
        <v>23</v>
      </c>
      <c r="C30" s="214">
        <v>34000</v>
      </c>
      <c r="D30" s="214">
        <v>34300</v>
      </c>
      <c r="E30" s="214">
        <v>35000</v>
      </c>
      <c r="F30" s="214">
        <v>36800</v>
      </c>
      <c r="G30" s="214">
        <v>39800</v>
      </c>
      <c r="H30" s="214">
        <v>41100</v>
      </c>
      <c r="I30" s="214">
        <v>43100</v>
      </c>
      <c r="J30" s="214">
        <v>50400</v>
      </c>
      <c r="K30" s="214">
        <v>55100</v>
      </c>
      <c r="L30" s="209">
        <v>64600</v>
      </c>
      <c r="M30" s="209">
        <v>72400</v>
      </c>
      <c r="N30" s="209">
        <v>84900</v>
      </c>
      <c r="O30" s="209">
        <v>101700</v>
      </c>
      <c r="P30" s="214">
        <v>107500</v>
      </c>
      <c r="Q30" s="214">
        <v>116200</v>
      </c>
      <c r="R30" s="214">
        <v>128800</v>
      </c>
      <c r="S30" s="214">
        <v>135800</v>
      </c>
      <c r="T30" s="214">
        <v>144100</v>
      </c>
      <c r="U30" s="214">
        <v>152900</v>
      </c>
      <c r="V30" s="214">
        <v>170400</v>
      </c>
      <c r="W30" s="209"/>
      <c r="X30" s="209"/>
      <c r="Y30" s="209"/>
      <c r="Z30" s="209"/>
      <c r="AA30" s="610"/>
    </row>
    <row r="31" spans="1:27" s="206" customFormat="1" ht="22.5" customHeight="1">
      <c r="A31" s="606"/>
      <c r="B31" s="209">
        <v>24</v>
      </c>
      <c r="C31" s="214">
        <v>35000</v>
      </c>
      <c r="D31" s="214">
        <v>35300</v>
      </c>
      <c r="E31" s="214">
        <v>36100</v>
      </c>
      <c r="F31" s="214">
        <v>37900</v>
      </c>
      <c r="G31" s="214">
        <v>41000</v>
      </c>
      <c r="H31" s="214">
        <v>42300</v>
      </c>
      <c r="I31" s="214">
        <v>44400</v>
      </c>
      <c r="J31" s="214">
        <v>51900</v>
      </c>
      <c r="K31" s="214">
        <v>56800</v>
      </c>
      <c r="L31" s="209">
        <v>66500</v>
      </c>
      <c r="M31" s="209">
        <v>74600</v>
      </c>
      <c r="N31" s="209">
        <v>87400</v>
      </c>
      <c r="O31" s="209">
        <v>104800</v>
      </c>
      <c r="P31" s="214">
        <v>110700</v>
      </c>
      <c r="Q31" s="214">
        <v>119700</v>
      </c>
      <c r="R31" s="214">
        <v>132700</v>
      </c>
      <c r="S31" s="214">
        <v>139900</v>
      </c>
      <c r="T31" s="214">
        <v>148400</v>
      </c>
      <c r="U31" s="214">
        <v>157500</v>
      </c>
      <c r="V31" s="214">
        <v>175500</v>
      </c>
      <c r="W31" s="209"/>
      <c r="X31" s="209"/>
      <c r="Y31" s="209"/>
      <c r="Z31" s="209"/>
      <c r="AA31" s="610"/>
    </row>
    <row r="32" spans="1:27" s="206" customFormat="1" ht="22.5" customHeight="1">
      <c r="A32" s="606"/>
      <c r="B32" s="209">
        <v>25</v>
      </c>
      <c r="C32" s="214">
        <v>36100</v>
      </c>
      <c r="D32" s="214">
        <v>36400</v>
      </c>
      <c r="E32" s="214">
        <v>37200</v>
      </c>
      <c r="F32" s="214">
        <v>39000</v>
      </c>
      <c r="G32" s="214">
        <v>42200</v>
      </c>
      <c r="H32" s="214">
        <v>43600</v>
      </c>
      <c r="I32" s="214">
        <v>45700</v>
      </c>
      <c r="J32" s="214">
        <v>53500</v>
      </c>
      <c r="K32" s="214">
        <v>58500</v>
      </c>
      <c r="L32" s="209">
        <v>68500</v>
      </c>
      <c r="M32" s="209">
        <v>76800</v>
      </c>
      <c r="N32" s="209">
        <v>90000</v>
      </c>
      <c r="O32" s="209">
        <v>107900</v>
      </c>
      <c r="P32" s="214">
        <v>114000</v>
      </c>
      <c r="Q32" s="214">
        <v>123300</v>
      </c>
      <c r="R32" s="214">
        <v>136700</v>
      </c>
      <c r="S32" s="214">
        <v>144100</v>
      </c>
      <c r="T32" s="214">
        <v>152900</v>
      </c>
      <c r="U32" s="214">
        <v>162200</v>
      </c>
      <c r="V32" s="214">
        <v>180800</v>
      </c>
      <c r="W32" s="209"/>
      <c r="X32" s="209"/>
      <c r="Y32" s="209"/>
      <c r="Z32" s="209"/>
      <c r="AA32" s="610"/>
    </row>
    <row r="33" spans="1:27" s="206" customFormat="1" ht="22.5" customHeight="1">
      <c r="A33" s="606"/>
      <c r="B33" s="209">
        <v>26</v>
      </c>
      <c r="C33" s="214">
        <v>37200</v>
      </c>
      <c r="D33" s="214">
        <v>37500</v>
      </c>
      <c r="E33" s="214">
        <v>38300</v>
      </c>
      <c r="F33" s="214">
        <v>40200</v>
      </c>
      <c r="G33" s="214">
        <v>43500</v>
      </c>
      <c r="H33" s="214">
        <v>44900</v>
      </c>
      <c r="I33" s="214">
        <v>47100</v>
      </c>
      <c r="J33" s="214">
        <v>55100</v>
      </c>
      <c r="K33" s="214">
        <v>60300</v>
      </c>
      <c r="L33" s="209">
        <v>70600</v>
      </c>
      <c r="M33" s="209">
        <v>79100</v>
      </c>
      <c r="N33" s="209">
        <v>92700</v>
      </c>
      <c r="O33" s="209">
        <v>111100</v>
      </c>
      <c r="P33" s="214">
        <v>117400</v>
      </c>
      <c r="Q33" s="214">
        <v>127000</v>
      </c>
      <c r="R33" s="214">
        <v>140800</v>
      </c>
      <c r="S33" s="214">
        <v>148400</v>
      </c>
      <c r="T33" s="214">
        <v>157500</v>
      </c>
      <c r="U33" s="214">
        <v>167100</v>
      </c>
      <c r="V33" s="214">
        <v>186200</v>
      </c>
      <c r="W33" s="209"/>
      <c r="X33" s="209"/>
      <c r="Y33" s="209"/>
      <c r="Z33" s="209"/>
      <c r="AA33" s="610"/>
    </row>
    <row r="34" spans="1:27" s="206" customFormat="1" ht="22.5" customHeight="1">
      <c r="A34" s="606"/>
      <c r="B34" s="209">
        <v>27</v>
      </c>
      <c r="C34" s="214">
        <v>38300</v>
      </c>
      <c r="D34" s="214">
        <v>38600</v>
      </c>
      <c r="E34" s="214">
        <v>39400</v>
      </c>
      <c r="F34" s="214">
        <v>41400</v>
      </c>
      <c r="G34" s="214">
        <v>44800</v>
      </c>
      <c r="H34" s="214">
        <v>46200</v>
      </c>
      <c r="I34" s="214">
        <v>48500</v>
      </c>
      <c r="J34" s="214">
        <v>56800</v>
      </c>
      <c r="K34" s="214">
        <v>62100</v>
      </c>
      <c r="L34" s="209">
        <v>72700</v>
      </c>
      <c r="M34" s="209">
        <v>81500</v>
      </c>
      <c r="N34" s="209">
        <v>95500</v>
      </c>
      <c r="O34" s="209">
        <v>114400</v>
      </c>
      <c r="P34" s="214">
        <v>120900</v>
      </c>
      <c r="Q34" s="214">
        <v>130800</v>
      </c>
      <c r="R34" s="214">
        <v>145000</v>
      </c>
      <c r="S34" s="214">
        <v>152900</v>
      </c>
      <c r="T34" s="214">
        <v>162200</v>
      </c>
      <c r="U34" s="214">
        <v>172100</v>
      </c>
      <c r="V34" s="214">
        <v>191800</v>
      </c>
      <c r="W34" s="209"/>
      <c r="X34" s="209"/>
      <c r="Y34" s="209"/>
      <c r="Z34" s="209"/>
      <c r="AA34" s="610"/>
    </row>
    <row r="35" spans="1:27" s="206" customFormat="1" ht="22.5" customHeight="1">
      <c r="A35" s="606"/>
      <c r="B35" s="209">
        <v>28</v>
      </c>
      <c r="C35" s="214">
        <v>39400</v>
      </c>
      <c r="D35" s="214">
        <v>39800</v>
      </c>
      <c r="E35" s="214">
        <v>40600</v>
      </c>
      <c r="F35" s="214">
        <v>42600</v>
      </c>
      <c r="G35" s="214">
        <v>46100</v>
      </c>
      <c r="H35" s="214">
        <v>47600</v>
      </c>
      <c r="I35" s="214">
        <v>50000</v>
      </c>
      <c r="J35" s="214">
        <v>58500</v>
      </c>
      <c r="K35" s="214">
        <v>64000</v>
      </c>
      <c r="L35" s="209">
        <v>74900</v>
      </c>
      <c r="M35" s="209">
        <v>83900</v>
      </c>
      <c r="N35" s="209">
        <v>98400</v>
      </c>
      <c r="O35" s="209">
        <v>117800</v>
      </c>
      <c r="P35" s="214">
        <v>124500</v>
      </c>
      <c r="Q35" s="214">
        <v>134700</v>
      </c>
      <c r="R35" s="214">
        <v>149400</v>
      </c>
      <c r="S35" s="214">
        <v>157500</v>
      </c>
      <c r="T35" s="214">
        <v>167100</v>
      </c>
      <c r="U35" s="214">
        <v>177300</v>
      </c>
      <c r="V35" s="214">
        <v>197600</v>
      </c>
      <c r="W35" s="209"/>
      <c r="X35" s="209"/>
      <c r="Y35" s="209"/>
      <c r="Z35" s="209"/>
      <c r="AA35" s="610"/>
    </row>
    <row r="36" spans="1:27" s="206" customFormat="1" ht="22.5" customHeight="1">
      <c r="A36" s="606"/>
      <c r="B36" s="209">
        <v>29</v>
      </c>
      <c r="C36" s="214">
        <v>40600</v>
      </c>
      <c r="D36" s="214">
        <v>41000</v>
      </c>
      <c r="E36" s="214">
        <v>41800</v>
      </c>
      <c r="F36" s="214">
        <v>43900</v>
      </c>
      <c r="G36" s="214">
        <v>47500</v>
      </c>
      <c r="H36" s="214">
        <v>49000</v>
      </c>
      <c r="I36" s="214">
        <v>51500</v>
      </c>
      <c r="J36" s="214">
        <v>60300</v>
      </c>
      <c r="K36" s="214">
        <v>65900</v>
      </c>
      <c r="L36" s="209">
        <v>77100</v>
      </c>
      <c r="M36" s="209">
        <v>86400</v>
      </c>
      <c r="N36" s="209">
        <v>101400</v>
      </c>
      <c r="O36" s="209">
        <v>121300</v>
      </c>
      <c r="P36" s="214">
        <v>128200</v>
      </c>
      <c r="Q36" s="214">
        <v>138700</v>
      </c>
      <c r="R36" s="214">
        <v>153900</v>
      </c>
      <c r="S36" s="214">
        <v>162200</v>
      </c>
      <c r="T36" s="214">
        <v>172100</v>
      </c>
      <c r="U36" s="214">
        <v>182600</v>
      </c>
      <c r="V36" s="214">
        <v>203500</v>
      </c>
      <c r="W36" s="209"/>
      <c r="X36" s="209"/>
      <c r="Y36" s="209"/>
      <c r="Z36" s="209"/>
      <c r="AA36" s="610"/>
    </row>
    <row r="37" spans="1:27" s="206" customFormat="1" ht="22.5" customHeight="1">
      <c r="A37" s="606"/>
      <c r="B37" s="209">
        <v>30</v>
      </c>
      <c r="C37" s="214">
        <v>41800</v>
      </c>
      <c r="D37" s="214">
        <v>42200</v>
      </c>
      <c r="E37" s="214">
        <v>43100</v>
      </c>
      <c r="F37" s="214">
        <v>45200</v>
      </c>
      <c r="G37" s="214">
        <v>48900</v>
      </c>
      <c r="H37" s="214">
        <v>50500</v>
      </c>
      <c r="I37" s="214">
        <v>53000</v>
      </c>
      <c r="J37" s="214">
        <v>62100</v>
      </c>
      <c r="K37" s="214">
        <v>67900</v>
      </c>
      <c r="L37" s="209">
        <v>79400</v>
      </c>
      <c r="M37" s="209">
        <v>89000</v>
      </c>
      <c r="N37" s="209">
        <v>104400</v>
      </c>
      <c r="O37" s="209">
        <v>124900</v>
      </c>
      <c r="P37" s="214">
        <v>132000</v>
      </c>
      <c r="Q37" s="214">
        <v>142900</v>
      </c>
      <c r="R37" s="214">
        <v>158500</v>
      </c>
      <c r="S37" s="214">
        <v>167100</v>
      </c>
      <c r="T37" s="214">
        <v>177300</v>
      </c>
      <c r="U37" s="214">
        <v>188100</v>
      </c>
      <c r="V37" s="214"/>
      <c r="W37" s="209"/>
      <c r="X37" s="209"/>
      <c r="Y37" s="209"/>
      <c r="Z37" s="209"/>
      <c r="AA37" s="610"/>
    </row>
    <row r="38" spans="1:27" s="206" customFormat="1" ht="22.5" customHeight="1">
      <c r="A38" s="606"/>
      <c r="B38" s="209">
        <v>31</v>
      </c>
      <c r="C38" s="214">
        <v>43100</v>
      </c>
      <c r="D38" s="214">
        <v>43500</v>
      </c>
      <c r="E38" s="214">
        <v>44400</v>
      </c>
      <c r="F38" s="214">
        <v>46600</v>
      </c>
      <c r="G38" s="214">
        <v>50400</v>
      </c>
      <c r="H38" s="214">
        <v>52000</v>
      </c>
      <c r="I38" s="214">
        <v>54600</v>
      </c>
      <c r="J38" s="214">
        <v>64000</v>
      </c>
      <c r="K38" s="214">
        <v>69900</v>
      </c>
      <c r="L38" s="209">
        <v>81800</v>
      </c>
      <c r="M38" s="209">
        <v>91700</v>
      </c>
      <c r="N38" s="209">
        <v>107500</v>
      </c>
      <c r="O38" s="209">
        <v>128600</v>
      </c>
      <c r="P38" s="214">
        <v>136000</v>
      </c>
      <c r="Q38" s="214">
        <v>147200</v>
      </c>
      <c r="R38" s="214">
        <v>163300</v>
      </c>
      <c r="S38" s="214">
        <v>172100</v>
      </c>
      <c r="T38" s="214">
        <v>182600</v>
      </c>
      <c r="U38" s="214">
        <v>193700</v>
      </c>
      <c r="V38" s="214"/>
      <c r="W38" s="209"/>
      <c r="X38" s="209"/>
      <c r="Y38" s="209"/>
      <c r="Z38" s="209"/>
      <c r="AA38" s="610"/>
    </row>
    <row r="39" spans="1:27" s="206" customFormat="1" ht="22.5" customHeight="1">
      <c r="A39" s="606"/>
      <c r="B39" s="209">
        <v>32</v>
      </c>
      <c r="C39" s="214">
        <v>44400</v>
      </c>
      <c r="D39" s="214">
        <v>44800</v>
      </c>
      <c r="E39" s="214">
        <v>45700</v>
      </c>
      <c r="F39" s="214">
        <v>48000</v>
      </c>
      <c r="G39" s="214">
        <v>51900</v>
      </c>
      <c r="H39" s="214">
        <v>53600</v>
      </c>
      <c r="I39" s="214">
        <v>56200</v>
      </c>
      <c r="J39" s="214">
        <v>65900</v>
      </c>
      <c r="K39" s="214">
        <v>72000</v>
      </c>
      <c r="L39" s="209">
        <v>84300</v>
      </c>
      <c r="M39" s="209">
        <v>94500</v>
      </c>
      <c r="N39" s="209">
        <v>110700</v>
      </c>
      <c r="O39" s="209">
        <v>132500</v>
      </c>
      <c r="P39" s="214">
        <v>140100</v>
      </c>
      <c r="Q39" s="214">
        <v>151600</v>
      </c>
      <c r="R39" s="214">
        <v>168200</v>
      </c>
      <c r="S39" s="214">
        <v>177300</v>
      </c>
      <c r="T39" s="214">
        <v>188100</v>
      </c>
      <c r="U39" s="214">
        <v>199500</v>
      </c>
      <c r="V39" s="214"/>
      <c r="W39" s="209"/>
      <c r="X39" s="209"/>
      <c r="Y39" s="209"/>
      <c r="Z39" s="209"/>
      <c r="AA39" s="610"/>
    </row>
    <row r="40" spans="1:27" s="206" customFormat="1" ht="22.5" customHeight="1">
      <c r="A40" s="606"/>
      <c r="B40" s="209">
        <v>33</v>
      </c>
      <c r="C40" s="214">
        <v>45700</v>
      </c>
      <c r="D40" s="214">
        <v>46100</v>
      </c>
      <c r="E40" s="214">
        <v>47100</v>
      </c>
      <c r="F40" s="214">
        <v>49400</v>
      </c>
      <c r="G40" s="214">
        <v>53500</v>
      </c>
      <c r="H40" s="214">
        <v>55200</v>
      </c>
      <c r="I40" s="214">
        <v>57900</v>
      </c>
      <c r="J40" s="214">
        <v>67900</v>
      </c>
      <c r="K40" s="214">
        <v>74200</v>
      </c>
      <c r="L40" s="209">
        <v>86800</v>
      </c>
      <c r="M40" s="209">
        <v>97300</v>
      </c>
      <c r="N40" s="209">
        <v>114000</v>
      </c>
      <c r="O40" s="209">
        <v>136500</v>
      </c>
      <c r="P40" s="214">
        <v>144300</v>
      </c>
      <c r="Q40" s="214">
        <v>156100</v>
      </c>
      <c r="R40" s="214">
        <v>173200</v>
      </c>
      <c r="S40" s="214">
        <v>182600</v>
      </c>
      <c r="T40" s="214">
        <v>193700</v>
      </c>
      <c r="U40" s="214"/>
      <c r="V40" s="214"/>
      <c r="W40" s="209"/>
      <c r="X40" s="209"/>
      <c r="Y40" s="209"/>
      <c r="Z40" s="209"/>
      <c r="AA40" s="610"/>
    </row>
    <row r="41" spans="1:27" s="206" customFormat="1" ht="22.5" customHeight="1">
      <c r="A41" s="606"/>
      <c r="B41" s="209">
        <v>34</v>
      </c>
      <c r="C41" s="214">
        <v>47100</v>
      </c>
      <c r="D41" s="214">
        <v>47500</v>
      </c>
      <c r="E41" s="214">
        <v>48500</v>
      </c>
      <c r="F41" s="214">
        <v>50900</v>
      </c>
      <c r="G41" s="214">
        <v>55100</v>
      </c>
      <c r="H41" s="214">
        <v>56900</v>
      </c>
      <c r="I41" s="214">
        <v>59600</v>
      </c>
      <c r="J41" s="214">
        <v>69900</v>
      </c>
      <c r="K41" s="214">
        <v>76400</v>
      </c>
      <c r="L41" s="209">
        <v>89400</v>
      </c>
      <c r="M41" s="209">
        <v>100200</v>
      </c>
      <c r="N41" s="209">
        <v>117400</v>
      </c>
      <c r="O41" s="209">
        <v>140600</v>
      </c>
      <c r="P41" s="214">
        <v>148600</v>
      </c>
      <c r="Q41" s="214">
        <v>160800</v>
      </c>
      <c r="R41" s="214">
        <v>178400</v>
      </c>
      <c r="S41" s="214">
        <v>188100</v>
      </c>
      <c r="T41" s="214">
        <v>199500</v>
      </c>
      <c r="U41" s="214"/>
      <c r="V41" s="214"/>
      <c r="W41" s="209"/>
      <c r="X41" s="209"/>
      <c r="Y41" s="209"/>
      <c r="Z41" s="209"/>
      <c r="AA41" s="610"/>
    </row>
    <row r="42" spans="1:27" s="206" customFormat="1" ht="22.5" customHeight="1">
      <c r="A42" s="606"/>
      <c r="B42" s="209">
        <v>35</v>
      </c>
      <c r="C42" s="214">
        <v>48500</v>
      </c>
      <c r="D42" s="214">
        <v>48900</v>
      </c>
      <c r="E42" s="214">
        <v>50000</v>
      </c>
      <c r="F42" s="214">
        <v>52400</v>
      </c>
      <c r="G42" s="214">
        <v>56800</v>
      </c>
      <c r="H42" s="214">
        <v>58600</v>
      </c>
      <c r="I42" s="214">
        <v>61400</v>
      </c>
      <c r="J42" s="214">
        <v>72000</v>
      </c>
      <c r="K42" s="214">
        <v>78700</v>
      </c>
      <c r="L42" s="209">
        <v>92100</v>
      </c>
      <c r="M42" s="209">
        <v>103200</v>
      </c>
      <c r="N42" s="209">
        <v>120900</v>
      </c>
      <c r="O42" s="209">
        <v>144800</v>
      </c>
      <c r="P42" s="214">
        <v>153100</v>
      </c>
      <c r="Q42" s="214">
        <v>165600</v>
      </c>
      <c r="R42" s="214">
        <v>183800</v>
      </c>
      <c r="S42" s="214">
        <v>193700</v>
      </c>
      <c r="T42" s="214"/>
      <c r="U42" s="214"/>
      <c r="V42" s="214"/>
      <c r="W42" s="209"/>
      <c r="X42" s="209"/>
      <c r="Y42" s="209"/>
      <c r="Z42" s="209"/>
      <c r="AA42" s="610"/>
    </row>
    <row r="43" spans="1:27" s="206" customFormat="1" ht="22.5" customHeight="1">
      <c r="A43" s="606"/>
      <c r="B43" s="209">
        <v>36</v>
      </c>
      <c r="C43" s="214">
        <v>50000</v>
      </c>
      <c r="D43" s="214">
        <v>50400</v>
      </c>
      <c r="E43" s="214">
        <v>51500</v>
      </c>
      <c r="F43" s="214">
        <v>54000</v>
      </c>
      <c r="G43" s="214">
        <v>58500</v>
      </c>
      <c r="H43" s="214">
        <v>60400</v>
      </c>
      <c r="I43" s="214">
        <v>63200</v>
      </c>
      <c r="J43" s="214">
        <v>74200</v>
      </c>
      <c r="K43" s="214">
        <v>81100</v>
      </c>
      <c r="L43" s="209">
        <v>94900</v>
      </c>
      <c r="M43" s="209">
        <v>106300</v>
      </c>
      <c r="N43" s="209">
        <v>124500</v>
      </c>
      <c r="O43" s="209">
        <v>149100</v>
      </c>
      <c r="P43" s="214">
        <v>157700</v>
      </c>
      <c r="Q43" s="214">
        <v>170600</v>
      </c>
      <c r="R43" s="214">
        <v>189300</v>
      </c>
      <c r="S43" s="214">
        <v>199500</v>
      </c>
      <c r="T43" s="214"/>
      <c r="U43" s="214"/>
      <c r="V43" s="214"/>
      <c r="W43" s="209"/>
      <c r="X43" s="209"/>
      <c r="Y43" s="209"/>
      <c r="Z43" s="209"/>
      <c r="AA43" s="610"/>
    </row>
    <row r="44" spans="1:27" s="206" customFormat="1" ht="22.5" customHeight="1">
      <c r="A44" s="606"/>
      <c r="B44" s="209">
        <v>37</v>
      </c>
      <c r="C44" s="214">
        <v>51500</v>
      </c>
      <c r="D44" s="214">
        <v>51900</v>
      </c>
      <c r="E44" s="214">
        <v>53000</v>
      </c>
      <c r="F44" s="214">
        <v>55600</v>
      </c>
      <c r="G44" s="214">
        <v>60300</v>
      </c>
      <c r="H44" s="214">
        <v>62200</v>
      </c>
      <c r="I44" s="214">
        <v>65100</v>
      </c>
      <c r="J44" s="214">
        <v>76400</v>
      </c>
      <c r="K44" s="214">
        <v>83500</v>
      </c>
      <c r="L44" s="209">
        <v>97700</v>
      </c>
      <c r="M44" s="209">
        <v>109500</v>
      </c>
      <c r="N44" s="209">
        <v>128200</v>
      </c>
      <c r="O44" s="209">
        <v>153600</v>
      </c>
      <c r="P44" s="214">
        <v>162400</v>
      </c>
      <c r="Q44" s="214">
        <v>175700</v>
      </c>
      <c r="R44" s="214">
        <v>195000</v>
      </c>
      <c r="S44" s="214"/>
      <c r="T44" s="214"/>
      <c r="U44" s="214"/>
      <c r="V44" s="214"/>
      <c r="W44" s="209"/>
      <c r="X44" s="209"/>
      <c r="Y44" s="209"/>
      <c r="Z44" s="209"/>
      <c r="AA44" s="610"/>
    </row>
    <row r="45" spans="1:27" s="206" customFormat="1" ht="22.5" customHeight="1">
      <c r="A45" s="606"/>
      <c r="B45" s="209">
        <v>38</v>
      </c>
      <c r="C45" s="214">
        <v>53000</v>
      </c>
      <c r="D45" s="214">
        <v>53500</v>
      </c>
      <c r="E45" s="214">
        <v>54600</v>
      </c>
      <c r="F45" s="214">
        <v>57300</v>
      </c>
      <c r="G45" s="214">
        <v>62100</v>
      </c>
      <c r="H45" s="214">
        <v>64100</v>
      </c>
      <c r="I45" s="214">
        <v>67100</v>
      </c>
      <c r="J45" s="214">
        <v>78700</v>
      </c>
      <c r="K45" s="214">
        <v>86000</v>
      </c>
      <c r="L45" s="209">
        <v>100600</v>
      </c>
      <c r="M45" s="209">
        <v>112800</v>
      </c>
      <c r="N45" s="209">
        <v>132000</v>
      </c>
      <c r="O45" s="209">
        <v>158200</v>
      </c>
      <c r="P45" s="214">
        <v>167300</v>
      </c>
      <c r="Q45" s="214">
        <v>181000</v>
      </c>
      <c r="R45" s="214"/>
      <c r="S45" s="214"/>
      <c r="T45" s="214"/>
      <c r="U45" s="214"/>
      <c r="V45" s="214"/>
      <c r="W45" s="209"/>
      <c r="X45" s="209"/>
      <c r="Y45" s="209"/>
      <c r="Z45" s="209"/>
      <c r="AA45" s="610"/>
    </row>
    <row r="46" spans="1:27" s="206" customFormat="1" ht="22.5" customHeight="1">
      <c r="A46" s="606"/>
      <c r="B46" s="209">
        <v>39</v>
      </c>
      <c r="C46" s="214">
        <v>54600</v>
      </c>
      <c r="D46" s="214">
        <v>55100</v>
      </c>
      <c r="E46" s="214">
        <v>56200</v>
      </c>
      <c r="F46" s="214">
        <v>59000</v>
      </c>
      <c r="G46" s="214">
        <v>64000</v>
      </c>
      <c r="H46" s="214">
        <v>66000</v>
      </c>
      <c r="I46" s="214">
        <v>69100</v>
      </c>
      <c r="J46" s="214">
        <v>81100</v>
      </c>
      <c r="K46" s="214">
        <v>88600</v>
      </c>
      <c r="L46" s="209">
        <v>103600</v>
      </c>
      <c r="M46" s="209">
        <v>116200</v>
      </c>
      <c r="N46" s="209">
        <v>136000</v>
      </c>
      <c r="O46" s="209">
        <v>162900</v>
      </c>
      <c r="P46" s="214">
        <v>172300</v>
      </c>
      <c r="Q46" s="214">
        <v>186400</v>
      </c>
      <c r="R46" s="214"/>
      <c r="S46" s="214"/>
      <c r="T46" s="214"/>
      <c r="U46" s="214"/>
      <c r="V46" s="214"/>
      <c r="W46" s="209"/>
      <c r="X46" s="209"/>
      <c r="Y46" s="209"/>
      <c r="Z46" s="209"/>
      <c r="AA46" s="610"/>
    </row>
    <row r="47" spans="1:27" s="206" customFormat="1" ht="22.5" customHeight="1">
      <c r="A47" s="606"/>
      <c r="B47" s="209">
        <v>40</v>
      </c>
      <c r="C47" s="214">
        <v>56200</v>
      </c>
      <c r="D47" s="214">
        <v>56800</v>
      </c>
      <c r="E47" s="214">
        <v>57900</v>
      </c>
      <c r="F47" s="214">
        <v>60800</v>
      </c>
      <c r="G47" s="214">
        <v>65900</v>
      </c>
      <c r="H47" s="214">
        <v>68000</v>
      </c>
      <c r="I47" s="214">
        <v>71200</v>
      </c>
      <c r="J47" s="214">
        <v>83500</v>
      </c>
      <c r="K47" s="214">
        <v>91300</v>
      </c>
      <c r="L47" s="209">
        <v>106700</v>
      </c>
      <c r="M47" s="209">
        <v>119700</v>
      </c>
      <c r="N47" s="209">
        <v>140100</v>
      </c>
      <c r="O47" s="209">
        <v>167800</v>
      </c>
      <c r="P47" s="214">
        <v>177500</v>
      </c>
      <c r="Q47" s="214">
        <v>192000</v>
      </c>
      <c r="R47" s="214"/>
      <c r="S47" s="214"/>
      <c r="T47" s="214"/>
      <c r="U47" s="214"/>
      <c r="V47" s="214"/>
      <c r="W47" s="209"/>
      <c r="X47" s="209"/>
      <c r="Y47" s="209"/>
      <c r="Z47" s="209"/>
      <c r="AA47" s="610"/>
    </row>
    <row r="48" spans="1:27">
      <c r="A48" s="606"/>
      <c r="B48" s="606"/>
      <c r="C48" s="606"/>
      <c r="D48" s="606"/>
      <c r="E48" s="606"/>
      <c r="F48" s="606"/>
      <c r="G48" s="606"/>
      <c r="H48" s="606"/>
      <c r="I48" s="606"/>
      <c r="J48" s="606"/>
      <c r="K48" s="606"/>
      <c r="L48" s="606"/>
      <c r="M48" s="606"/>
      <c r="N48" s="606"/>
      <c r="O48" s="606"/>
      <c r="P48" s="606"/>
      <c r="Q48" s="606"/>
      <c r="R48" s="606"/>
      <c r="S48" s="606"/>
      <c r="T48" s="606"/>
      <c r="U48" s="606"/>
      <c r="V48" s="606"/>
      <c r="W48" s="606"/>
      <c r="X48" s="606"/>
      <c r="Y48" s="606"/>
      <c r="Z48" s="606"/>
      <c r="AA48" s="606"/>
    </row>
  </sheetData>
  <sheetProtection password="E8FA" sheet="1" objects="1" scenarios="1" selectLockedCells="1"/>
  <mergeCells count="10">
    <mergeCell ref="C7:Z7"/>
    <mergeCell ref="B2:Z2"/>
    <mergeCell ref="AA2:AA47"/>
    <mergeCell ref="A2:A48"/>
    <mergeCell ref="B48:AA48"/>
    <mergeCell ref="A1:AA1"/>
    <mergeCell ref="C3:K3"/>
    <mergeCell ref="L3:O3"/>
    <mergeCell ref="P3:V3"/>
    <mergeCell ref="W3:Z3"/>
  </mergeCells>
  <pageMargins left="0.35433070866141736" right="0.23622047244094491" top="0.19685039370078741" bottom="0.15748031496062992" header="0.19685039370078741" footer="0.15748031496062992"/>
  <pageSetup paperSize="9" scale="57" orientation="landscape"/>
</worksheet>
</file>

<file path=xl/worksheets/sheet8.xml><?xml version="1.0" encoding="utf-8"?>
<worksheet xmlns="http://schemas.openxmlformats.org/spreadsheetml/2006/main" xmlns:r="http://schemas.openxmlformats.org/officeDocument/2006/relationships">
  <dimension ref="B2:AT26"/>
  <sheetViews>
    <sheetView workbookViewId="0">
      <selection sqref="A1:XFD1048576"/>
    </sheetView>
  </sheetViews>
  <sheetFormatPr defaultColWidth="10" defaultRowHeight="15"/>
  <cols>
    <col min="1" max="1" width="3.28515625" customWidth="1"/>
    <col min="2" max="2" width="22.5703125" customWidth="1"/>
    <col min="3" max="3" width="12" customWidth="1"/>
    <col min="4" max="4" width="11.5703125" customWidth="1"/>
    <col min="6" max="6" width="20" customWidth="1"/>
  </cols>
  <sheetData>
    <row r="2" spans="2:46" ht="47.25">
      <c r="B2" s="215" t="s">
        <v>45</v>
      </c>
      <c r="C2" s="216" t="s">
        <v>50</v>
      </c>
      <c r="D2" s="217" t="s">
        <v>51</v>
      </c>
      <c r="E2" s="218" t="s">
        <v>56</v>
      </c>
      <c r="F2" s="219" t="s">
        <v>57</v>
      </c>
      <c r="G2" s="220">
        <v>1</v>
      </c>
      <c r="H2" s="220">
        <v>2</v>
      </c>
      <c r="I2" s="220">
        <v>3</v>
      </c>
      <c r="J2" s="220">
        <v>4</v>
      </c>
      <c r="K2" s="220">
        <v>5</v>
      </c>
      <c r="L2" s="220">
        <v>6</v>
      </c>
      <c r="M2" s="220">
        <v>7</v>
      </c>
      <c r="N2" s="220">
        <v>8</v>
      </c>
      <c r="O2" s="220">
        <v>9</v>
      </c>
      <c r="P2" s="220">
        <v>10</v>
      </c>
      <c r="Q2" s="220">
        <v>11</v>
      </c>
      <c r="R2" s="220">
        <v>12</v>
      </c>
      <c r="S2" s="220">
        <v>13</v>
      </c>
      <c r="T2" s="220">
        <v>14</v>
      </c>
      <c r="U2" s="220">
        <v>15</v>
      </c>
      <c r="V2" s="220">
        <v>16</v>
      </c>
      <c r="W2" s="220">
        <v>17</v>
      </c>
      <c r="X2" s="220">
        <v>18</v>
      </c>
      <c r="Y2" s="220">
        <v>19</v>
      </c>
      <c r="Z2" s="220">
        <v>20</v>
      </c>
      <c r="AA2" s="220">
        <v>21</v>
      </c>
      <c r="AB2" s="220">
        <v>22</v>
      </c>
      <c r="AC2" s="220">
        <v>23</v>
      </c>
      <c r="AD2" s="220">
        <v>24</v>
      </c>
      <c r="AE2" s="220">
        <v>25</v>
      </c>
      <c r="AF2" s="220">
        <v>26</v>
      </c>
      <c r="AG2" s="220">
        <v>27</v>
      </c>
      <c r="AH2" s="220">
        <v>28</v>
      </c>
      <c r="AI2" s="220">
        <v>29</v>
      </c>
      <c r="AJ2" s="220">
        <v>30</v>
      </c>
      <c r="AK2" s="220">
        <v>31</v>
      </c>
      <c r="AL2" s="220">
        <v>32</v>
      </c>
      <c r="AM2" s="220">
        <v>33</v>
      </c>
      <c r="AN2" s="220">
        <v>34</v>
      </c>
      <c r="AO2" s="220">
        <v>35</v>
      </c>
      <c r="AP2" s="220">
        <v>36</v>
      </c>
      <c r="AQ2" s="220">
        <v>37</v>
      </c>
      <c r="AR2" s="220">
        <v>38</v>
      </c>
      <c r="AS2" s="220">
        <v>39</v>
      </c>
      <c r="AT2" s="220">
        <v>40</v>
      </c>
    </row>
    <row r="3" spans="2:46" ht="15.75">
      <c r="B3" s="611" t="s">
        <v>46</v>
      </c>
      <c r="C3" s="220">
        <v>1700</v>
      </c>
      <c r="D3" s="218">
        <v>2</v>
      </c>
      <c r="E3" s="221">
        <v>1</v>
      </c>
      <c r="F3" s="612" t="s">
        <v>58</v>
      </c>
      <c r="G3" s="222">
        <v>17700</v>
      </c>
      <c r="H3" s="222">
        <v>18200</v>
      </c>
      <c r="I3" s="222">
        <v>18700</v>
      </c>
      <c r="J3" s="222">
        <v>19300</v>
      </c>
      <c r="K3" s="222">
        <v>19900</v>
      </c>
      <c r="L3" s="222">
        <v>20500</v>
      </c>
      <c r="M3" s="222">
        <v>21100</v>
      </c>
      <c r="N3" s="222">
        <v>21700</v>
      </c>
      <c r="O3" s="222">
        <v>22400</v>
      </c>
      <c r="P3" s="222">
        <v>23100</v>
      </c>
      <c r="Q3" s="222">
        <v>23800</v>
      </c>
      <c r="R3" s="222">
        <v>24500</v>
      </c>
      <c r="S3" s="222">
        <v>25200</v>
      </c>
      <c r="T3" s="222">
        <v>26000</v>
      </c>
      <c r="U3" s="222">
        <v>26800</v>
      </c>
      <c r="V3" s="222">
        <v>27600</v>
      </c>
      <c r="W3" s="222">
        <v>28400</v>
      </c>
      <c r="X3" s="222">
        <v>29300</v>
      </c>
      <c r="Y3" s="222">
        <v>30200</v>
      </c>
      <c r="Z3" s="222">
        <v>31100</v>
      </c>
      <c r="AA3" s="222">
        <v>32000</v>
      </c>
      <c r="AB3" s="222">
        <v>33000</v>
      </c>
      <c r="AC3" s="222">
        <v>34000</v>
      </c>
      <c r="AD3" s="222">
        <v>35000</v>
      </c>
      <c r="AE3" s="222">
        <v>36100</v>
      </c>
      <c r="AF3" s="222">
        <v>37200</v>
      </c>
      <c r="AG3" s="222">
        <v>38300</v>
      </c>
      <c r="AH3" s="222">
        <v>39400</v>
      </c>
      <c r="AI3" s="222">
        <v>40600</v>
      </c>
      <c r="AJ3" s="222">
        <v>41800</v>
      </c>
      <c r="AK3" s="222">
        <v>43100</v>
      </c>
      <c r="AL3" s="222">
        <v>44400</v>
      </c>
      <c r="AM3" s="222">
        <v>45700</v>
      </c>
      <c r="AN3" s="222">
        <v>47100</v>
      </c>
      <c r="AO3" s="222">
        <v>48500</v>
      </c>
      <c r="AP3" s="222">
        <v>50000</v>
      </c>
      <c r="AQ3" s="222">
        <v>51500</v>
      </c>
      <c r="AR3" s="222">
        <v>53000</v>
      </c>
      <c r="AS3" s="222">
        <v>54600</v>
      </c>
      <c r="AT3" s="222">
        <v>56200</v>
      </c>
    </row>
    <row r="4" spans="2:46" ht="15.75">
      <c r="B4" s="611"/>
      <c r="C4" s="220">
        <v>1750</v>
      </c>
      <c r="D4" s="218">
        <v>3</v>
      </c>
      <c r="E4" s="221">
        <v>2</v>
      </c>
      <c r="F4" s="613"/>
      <c r="G4" s="222">
        <v>17900</v>
      </c>
      <c r="H4" s="222">
        <v>18400</v>
      </c>
      <c r="I4" s="222">
        <v>19000</v>
      </c>
      <c r="J4" s="222">
        <v>19600</v>
      </c>
      <c r="K4" s="222">
        <v>20200</v>
      </c>
      <c r="L4" s="222">
        <v>20800</v>
      </c>
      <c r="M4" s="222">
        <v>21400</v>
      </c>
      <c r="N4" s="222">
        <v>22000</v>
      </c>
      <c r="O4" s="222">
        <v>22700</v>
      </c>
      <c r="P4" s="222">
        <v>23400</v>
      </c>
      <c r="Q4" s="222">
        <v>24100</v>
      </c>
      <c r="R4" s="222">
        <v>24800</v>
      </c>
      <c r="S4" s="222">
        <v>25500</v>
      </c>
      <c r="T4" s="222">
        <v>26300</v>
      </c>
      <c r="U4" s="222">
        <v>27100</v>
      </c>
      <c r="V4" s="222">
        <v>27900</v>
      </c>
      <c r="W4" s="222">
        <v>28700</v>
      </c>
      <c r="X4" s="222">
        <v>29600</v>
      </c>
      <c r="Y4" s="222">
        <v>30500</v>
      </c>
      <c r="Z4" s="222">
        <v>31400</v>
      </c>
      <c r="AA4" s="222">
        <v>32300</v>
      </c>
      <c r="AB4" s="222">
        <v>33300</v>
      </c>
      <c r="AC4" s="222">
        <v>34300</v>
      </c>
      <c r="AD4" s="222">
        <v>35300</v>
      </c>
      <c r="AE4" s="222">
        <v>36400</v>
      </c>
      <c r="AF4" s="222">
        <v>37500</v>
      </c>
      <c r="AG4" s="222">
        <v>38600</v>
      </c>
      <c r="AH4" s="222">
        <v>39800</v>
      </c>
      <c r="AI4" s="222">
        <v>41000</v>
      </c>
      <c r="AJ4" s="222">
        <v>42200</v>
      </c>
      <c r="AK4" s="222">
        <v>43500</v>
      </c>
      <c r="AL4" s="222">
        <v>44800</v>
      </c>
      <c r="AM4" s="222">
        <v>46100</v>
      </c>
      <c r="AN4" s="222">
        <v>47500</v>
      </c>
      <c r="AO4" s="222">
        <v>48900</v>
      </c>
      <c r="AP4" s="222">
        <v>50400</v>
      </c>
      <c r="AQ4" s="222">
        <v>51900</v>
      </c>
      <c r="AR4" s="222">
        <v>53500</v>
      </c>
      <c r="AS4" s="222">
        <v>55100</v>
      </c>
      <c r="AT4" s="222">
        <v>56800</v>
      </c>
    </row>
    <row r="5" spans="2:46" ht="15.75">
      <c r="B5" s="611"/>
      <c r="C5" s="220">
        <v>1900</v>
      </c>
      <c r="D5" s="218">
        <v>4</v>
      </c>
      <c r="E5" s="221">
        <v>3</v>
      </c>
      <c r="F5" s="613"/>
      <c r="G5" s="222">
        <v>18200</v>
      </c>
      <c r="H5" s="222">
        <v>18700</v>
      </c>
      <c r="I5" s="222">
        <v>19300</v>
      </c>
      <c r="J5" s="222">
        <v>19900</v>
      </c>
      <c r="K5" s="222">
        <v>20500</v>
      </c>
      <c r="L5" s="222">
        <v>21100</v>
      </c>
      <c r="M5" s="222">
        <v>21700</v>
      </c>
      <c r="N5" s="222">
        <v>22400</v>
      </c>
      <c r="O5" s="222">
        <v>23100</v>
      </c>
      <c r="P5" s="222">
        <v>23800</v>
      </c>
      <c r="Q5" s="222">
        <v>24500</v>
      </c>
      <c r="R5" s="222">
        <v>25200</v>
      </c>
      <c r="S5" s="222">
        <v>26000</v>
      </c>
      <c r="T5" s="222">
        <v>26800</v>
      </c>
      <c r="U5" s="222">
        <v>27600</v>
      </c>
      <c r="V5" s="222">
        <v>28400</v>
      </c>
      <c r="W5" s="222">
        <v>29300</v>
      </c>
      <c r="X5" s="222">
        <v>30200</v>
      </c>
      <c r="Y5" s="222">
        <v>31100</v>
      </c>
      <c r="Z5" s="222">
        <v>32000</v>
      </c>
      <c r="AA5" s="222">
        <v>33000</v>
      </c>
      <c r="AB5" s="222">
        <v>34000</v>
      </c>
      <c r="AC5" s="222">
        <v>35000</v>
      </c>
      <c r="AD5" s="222">
        <v>36100</v>
      </c>
      <c r="AE5" s="222">
        <v>37200</v>
      </c>
      <c r="AF5" s="222">
        <v>38300</v>
      </c>
      <c r="AG5" s="222">
        <v>39400</v>
      </c>
      <c r="AH5" s="222">
        <v>40600</v>
      </c>
      <c r="AI5" s="222">
        <v>41800</v>
      </c>
      <c r="AJ5" s="222">
        <v>43100</v>
      </c>
      <c r="AK5" s="222">
        <v>44400</v>
      </c>
      <c r="AL5" s="222">
        <v>45700</v>
      </c>
      <c r="AM5" s="222">
        <v>47100</v>
      </c>
      <c r="AN5" s="222">
        <v>48500</v>
      </c>
      <c r="AO5" s="222">
        <v>50000</v>
      </c>
      <c r="AP5" s="222">
        <v>51500</v>
      </c>
      <c r="AQ5" s="222">
        <v>53000</v>
      </c>
      <c r="AR5" s="222">
        <v>54600</v>
      </c>
      <c r="AS5" s="222">
        <v>56200</v>
      </c>
      <c r="AT5" s="222">
        <v>57900</v>
      </c>
    </row>
    <row r="6" spans="2:46" ht="15.75">
      <c r="B6" s="611"/>
      <c r="C6" s="220">
        <v>2000</v>
      </c>
      <c r="D6" s="218">
        <v>5</v>
      </c>
      <c r="E6" s="221">
        <v>4</v>
      </c>
      <c r="F6" s="613"/>
      <c r="G6" s="222">
        <v>19200</v>
      </c>
      <c r="H6" s="222">
        <v>19800</v>
      </c>
      <c r="I6" s="222">
        <v>20400</v>
      </c>
      <c r="J6" s="222">
        <v>21000</v>
      </c>
      <c r="K6" s="222">
        <v>21600</v>
      </c>
      <c r="L6" s="222">
        <v>22200</v>
      </c>
      <c r="M6" s="222">
        <v>22900</v>
      </c>
      <c r="N6" s="222">
        <v>23600</v>
      </c>
      <c r="O6" s="222">
        <v>24300</v>
      </c>
      <c r="P6" s="222">
        <v>25000</v>
      </c>
      <c r="Q6" s="222">
        <v>25800</v>
      </c>
      <c r="R6" s="222">
        <v>26600</v>
      </c>
      <c r="S6" s="222">
        <v>27400</v>
      </c>
      <c r="T6" s="222">
        <v>28200</v>
      </c>
      <c r="U6" s="222">
        <v>29000</v>
      </c>
      <c r="V6" s="222">
        <v>29900</v>
      </c>
      <c r="W6" s="222">
        <v>30800</v>
      </c>
      <c r="X6" s="222">
        <v>31700</v>
      </c>
      <c r="Y6" s="222">
        <v>32700</v>
      </c>
      <c r="Z6" s="222">
        <v>33700</v>
      </c>
      <c r="AA6" s="222">
        <v>34700</v>
      </c>
      <c r="AB6" s="222">
        <v>35700</v>
      </c>
      <c r="AC6" s="222">
        <v>36800</v>
      </c>
      <c r="AD6" s="222">
        <v>37900</v>
      </c>
      <c r="AE6" s="222">
        <v>39000</v>
      </c>
      <c r="AF6" s="222">
        <v>40200</v>
      </c>
      <c r="AG6" s="222">
        <v>41400</v>
      </c>
      <c r="AH6" s="222">
        <v>42600</v>
      </c>
      <c r="AI6" s="222">
        <v>43900</v>
      </c>
      <c r="AJ6" s="222">
        <v>45200</v>
      </c>
      <c r="AK6" s="222">
        <v>46600</v>
      </c>
      <c r="AL6" s="222">
        <v>48000</v>
      </c>
      <c r="AM6" s="222">
        <v>49400</v>
      </c>
      <c r="AN6" s="222">
        <v>50900</v>
      </c>
      <c r="AO6" s="222">
        <v>52400</v>
      </c>
      <c r="AP6" s="222">
        <v>54000</v>
      </c>
      <c r="AQ6" s="222">
        <v>55600</v>
      </c>
      <c r="AR6" s="222">
        <v>57300</v>
      </c>
      <c r="AS6" s="222">
        <v>59000</v>
      </c>
      <c r="AT6" s="222">
        <v>60800</v>
      </c>
    </row>
    <row r="7" spans="2:46" ht="15.75">
      <c r="B7" s="611"/>
      <c r="C7" s="220">
        <v>2400</v>
      </c>
      <c r="D7" s="218">
        <v>9</v>
      </c>
      <c r="E7" s="221">
        <v>5</v>
      </c>
      <c r="F7" s="613"/>
      <c r="G7" s="222">
        <v>20800</v>
      </c>
      <c r="H7" s="222">
        <v>21400</v>
      </c>
      <c r="I7" s="222">
        <v>22000</v>
      </c>
      <c r="J7" s="222">
        <v>22700</v>
      </c>
      <c r="K7" s="222">
        <v>23400</v>
      </c>
      <c r="L7" s="222">
        <v>24100</v>
      </c>
      <c r="M7" s="222">
        <v>24800</v>
      </c>
      <c r="N7" s="222">
        <v>25500</v>
      </c>
      <c r="O7" s="222">
        <v>26300</v>
      </c>
      <c r="P7" s="222">
        <v>27100</v>
      </c>
      <c r="Q7" s="222">
        <v>27900</v>
      </c>
      <c r="R7" s="222">
        <v>28700</v>
      </c>
      <c r="S7" s="222">
        <v>29600</v>
      </c>
      <c r="T7" s="222">
        <v>30500</v>
      </c>
      <c r="U7" s="222">
        <v>31400</v>
      </c>
      <c r="V7" s="222">
        <v>32300</v>
      </c>
      <c r="W7" s="222">
        <v>33300</v>
      </c>
      <c r="X7" s="222">
        <v>34300</v>
      </c>
      <c r="Y7" s="222">
        <v>35300</v>
      </c>
      <c r="Z7" s="222">
        <v>36400</v>
      </c>
      <c r="AA7" s="222">
        <v>37500</v>
      </c>
      <c r="AB7" s="222">
        <v>38600</v>
      </c>
      <c r="AC7" s="222">
        <v>39800</v>
      </c>
      <c r="AD7" s="222">
        <v>41000</v>
      </c>
      <c r="AE7" s="222">
        <v>42200</v>
      </c>
      <c r="AF7" s="222">
        <v>43500</v>
      </c>
      <c r="AG7" s="222">
        <v>44800</v>
      </c>
      <c r="AH7" s="222">
        <v>46100</v>
      </c>
      <c r="AI7" s="222">
        <v>47500</v>
      </c>
      <c r="AJ7" s="222">
        <v>48900</v>
      </c>
      <c r="AK7" s="222">
        <v>50400</v>
      </c>
      <c r="AL7" s="222">
        <v>51900</v>
      </c>
      <c r="AM7" s="222">
        <v>53500</v>
      </c>
      <c r="AN7" s="222">
        <v>55100</v>
      </c>
      <c r="AO7" s="222">
        <v>56800</v>
      </c>
      <c r="AP7" s="222">
        <v>58500</v>
      </c>
      <c r="AQ7" s="222">
        <v>60300</v>
      </c>
      <c r="AR7" s="222">
        <v>62100</v>
      </c>
      <c r="AS7" s="222">
        <v>64000</v>
      </c>
      <c r="AT7" s="222">
        <v>65900</v>
      </c>
    </row>
    <row r="8" spans="2:46" ht="15.75">
      <c r="B8" s="611"/>
      <c r="C8" s="220">
        <v>2400</v>
      </c>
      <c r="D8" s="218" t="s">
        <v>52</v>
      </c>
      <c r="E8" s="221">
        <v>6</v>
      </c>
      <c r="F8" s="613"/>
      <c r="G8" s="222">
        <v>21500</v>
      </c>
      <c r="H8" s="222">
        <v>22100</v>
      </c>
      <c r="I8" s="222">
        <v>22800</v>
      </c>
      <c r="J8" s="222">
        <v>23500</v>
      </c>
      <c r="K8" s="222">
        <v>24200</v>
      </c>
      <c r="L8" s="222">
        <v>24900</v>
      </c>
      <c r="M8" s="222">
        <v>25600</v>
      </c>
      <c r="N8" s="222">
        <v>26400</v>
      </c>
      <c r="O8" s="222">
        <v>27200</v>
      </c>
      <c r="P8" s="222">
        <v>28000</v>
      </c>
      <c r="Q8" s="222">
        <v>28800</v>
      </c>
      <c r="R8" s="222">
        <v>29700</v>
      </c>
      <c r="S8" s="222">
        <v>30600</v>
      </c>
      <c r="T8" s="222">
        <v>31500</v>
      </c>
      <c r="U8" s="222">
        <v>32400</v>
      </c>
      <c r="V8" s="222">
        <v>33400</v>
      </c>
      <c r="W8" s="222">
        <v>34400</v>
      </c>
      <c r="X8" s="222">
        <v>35400</v>
      </c>
      <c r="Y8" s="222">
        <v>36500</v>
      </c>
      <c r="Z8" s="222">
        <v>37600</v>
      </c>
      <c r="AA8" s="222">
        <v>38700</v>
      </c>
      <c r="AB8" s="222">
        <v>39900</v>
      </c>
      <c r="AC8" s="222">
        <v>41100</v>
      </c>
      <c r="AD8" s="222">
        <v>42300</v>
      </c>
      <c r="AE8" s="222">
        <v>43600</v>
      </c>
      <c r="AF8" s="222">
        <v>44900</v>
      </c>
      <c r="AG8" s="222">
        <v>46200</v>
      </c>
      <c r="AH8" s="222">
        <v>47600</v>
      </c>
      <c r="AI8" s="222">
        <v>49000</v>
      </c>
      <c r="AJ8" s="222">
        <v>50500</v>
      </c>
      <c r="AK8" s="222">
        <v>52000</v>
      </c>
      <c r="AL8" s="222">
        <v>53600</v>
      </c>
      <c r="AM8" s="222">
        <v>55200</v>
      </c>
      <c r="AN8" s="222">
        <v>56900</v>
      </c>
      <c r="AO8" s="222">
        <v>58600</v>
      </c>
      <c r="AP8" s="222">
        <v>60400</v>
      </c>
      <c r="AQ8" s="222">
        <v>62200</v>
      </c>
      <c r="AR8" s="222">
        <v>64100</v>
      </c>
      <c r="AS8" s="222">
        <v>66000</v>
      </c>
      <c r="AT8" s="222">
        <v>68000</v>
      </c>
    </row>
    <row r="9" spans="2:46" ht="15.75">
      <c r="B9" s="611"/>
      <c r="C9" s="220">
        <v>2400</v>
      </c>
      <c r="D9" s="218" t="s">
        <v>53</v>
      </c>
      <c r="E9" s="221">
        <v>7</v>
      </c>
      <c r="F9" s="613"/>
      <c r="G9" s="222">
        <v>22400</v>
      </c>
      <c r="H9" s="222">
        <v>23100</v>
      </c>
      <c r="I9" s="222">
        <v>23800</v>
      </c>
      <c r="J9" s="222">
        <v>24500</v>
      </c>
      <c r="K9" s="222">
        <v>25200</v>
      </c>
      <c r="L9" s="222">
        <v>26000</v>
      </c>
      <c r="M9" s="222">
        <v>26800</v>
      </c>
      <c r="N9" s="222">
        <v>27600</v>
      </c>
      <c r="O9" s="222">
        <v>28400</v>
      </c>
      <c r="P9" s="222">
        <v>29300</v>
      </c>
      <c r="Q9" s="222">
        <v>30200</v>
      </c>
      <c r="R9" s="222">
        <v>31100</v>
      </c>
      <c r="S9" s="222">
        <v>32000</v>
      </c>
      <c r="T9" s="222">
        <v>33000</v>
      </c>
      <c r="U9" s="222">
        <v>34000</v>
      </c>
      <c r="V9" s="222">
        <v>35000</v>
      </c>
      <c r="W9" s="222">
        <v>36100</v>
      </c>
      <c r="X9" s="222">
        <v>37200</v>
      </c>
      <c r="Y9" s="222">
        <v>38300</v>
      </c>
      <c r="Z9" s="222">
        <v>39400</v>
      </c>
      <c r="AA9" s="222">
        <v>40600</v>
      </c>
      <c r="AB9" s="222">
        <v>41800</v>
      </c>
      <c r="AC9" s="222">
        <v>43100</v>
      </c>
      <c r="AD9" s="222">
        <v>44400</v>
      </c>
      <c r="AE9" s="222">
        <v>45700</v>
      </c>
      <c r="AF9" s="222">
        <v>47100</v>
      </c>
      <c r="AG9" s="222">
        <v>48500</v>
      </c>
      <c r="AH9" s="222">
        <v>50000</v>
      </c>
      <c r="AI9" s="222">
        <v>51500</v>
      </c>
      <c r="AJ9" s="222">
        <v>53000</v>
      </c>
      <c r="AK9" s="222">
        <v>54600</v>
      </c>
      <c r="AL9" s="222">
        <v>56200</v>
      </c>
      <c r="AM9" s="222">
        <v>57900</v>
      </c>
      <c r="AN9" s="222">
        <v>59600</v>
      </c>
      <c r="AO9" s="222">
        <v>61400</v>
      </c>
      <c r="AP9" s="222">
        <v>63200</v>
      </c>
      <c r="AQ9" s="222">
        <v>65100</v>
      </c>
      <c r="AR9" s="222">
        <v>67100</v>
      </c>
      <c r="AS9" s="222">
        <v>69100</v>
      </c>
      <c r="AT9" s="222">
        <v>71200</v>
      </c>
    </row>
    <row r="10" spans="2:46" ht="15.75">
      <c r="B10" s="611"/>
      <c r="C10" s="220">
        <v>2800</v>
      </c>
      <c r="D10" s="218">
        <v>10</v>
      </c>
      <c r="E10" s="221">
        <v>8</v>
      </c>
      <c r="F10" s="613"/>
      <c r="G10" s="222">
        <v>26300</v>
      </c>
      <c r="H10" s="222">
        <v>27100</v>
      </c>
      <c r="I10" s="222">
        <v>27900</v>
      </c>
      <c r="J10" s="222">
        <v>28700</v>
      </c>
      <c r="K10" s="222">
        <v>29600</v>
      </c>
      <c r="L10" s="222">
        <v>30500</v>
      </c>
      <c r="M10" s="222">
        <v>31400</v>
      </c>
      <c r="N10" s="222">
        <v>32300</v>
      </c>
      <c r="O10" s="222">
        <v>33300</v>
      </c>
      <c r="P10" s="222">
        <v>34300</v>
      </c>
      <c r="Q10" s="222">
        <v>35300</v>
      </c>
      <c r="R10" s="222">
        <v>36400</v>
      </c>
      <c r="S10" s="222">
        <v>37500</v>
      </c>
      <c r="T10" s="222">
        <v>38600</v>
      </c>
      <c r="U10" s="222">
        <v>39800</v>
      </c>
      <c r="V10" s="222">
        <v>41000</v>
      </c>
      <c r="W10" s="222">
        <v>42200</v>
      </c>
      <c r="X10" s="222">
        <v>43500</v>
      </c>
      <c r="Y10" s="222">
        <v>44800</v>
      </c>
      <c r="Z10" s="222">
        <v>46100</v>
      </c>
      <c r="AA10" s="222">
        <v>47500</v>
      </c>
      <c r="AB10" s="222">
        <v>48900</v>
      </c>
      <c r="AC10" s="222">
        <v>50400</v>
      </c>
      <c r="AD10" s="222">
        <v>51900</v>
      </c>
      <c r="AE10" s="222">
        <v>53500</v>
      </c>
      <c r="AF10" s="222">
        <v>55100</v>
      </c>
      <c r="AG10" s="222">
        <v>56800</v>
      </c>
      <c r="AH10" s="222">
        <v>58500</v>
      </c>
      <c r="AI10" s="222">
        <v>60300</v>
      </c>
      <c r="AJ10" s="222">
        <v>62100</v>
      </c>
      <c r="AK10" s="222">
        <v>64000</v>
      </c>
      <c r="AL10" s="222">
        <v>65900</v>
      </c>
      <c r="AM10" s="222">
        <v>67900</v>
      </c>
      <c r="AN10" s="222">
        <v>69900</v>
      </c>
      <c r="AO10" s="222">
        <v>72000</v>
      </c>
      <c r="AP10" s="222">
        <v>74200</v>
      </c>
      <c r="AQ10" s="222">
        <v>76400</v>
      </c>
      <c r="AR10" s="222">
        <v>78700</v>
      </c>
      <c r="AS10" s="222">
        <v>81100</v>
      </c>
      <c r="AT10" s="222">
        <v>83500</v>
      </c>
    </row>
    <row r="11" spans="2:46" ht="15.75">
      <c r="B11" s="611"/>
      <c r="C11" s="220">
        <v>2800</v>
      </c>
      <c r="D11" s="218" t="s">
        <v>54</v>
      </c>
      <c r="E11" s="221">
        <v>9</v>
      </c>
      <c r="F11" s="613"/>
      <c r="G11" s="222">
        <v>28700</v>
      </c>
      <c r="H11" s="222">
        <v>29600</v>
      </c>
      <c r="I11" s="222">
        <v>30500</v>
      </c>
      <c r="J11" s="222">
        <v>31400</v>
      </c>
      <c r="K11" s="222">
        <v>32300</v>
      </c>
      <c r="L11" s="222">
        <v>33300</v>
      </c>
      <c r="M11" s="222">
        <v>34300</v>
      </c>
      <c r="N11" s="222">
        <v>35300</v>
      </c>
      <c r="O11" s="222">
        <v>36400</v>
      </c>
      <c r="P11" s="222">
        <v>37500</v>
      </c>
      <c r="Q11" s="222">
        <v>38600</v>
      </c>
      <c r="R11" s="222">
        <v>39800</v>
      </c>
      <c r="S11" s="222">
        <v>41000</v>
      </c>
      <c r="T11" s="222">
        <v>42200</v>
      </c>
      <c r="U11" s="222">
        <v>43500</v>
      </c>
      <c r="V11" s="222">
        <v>44800</v>
      </c>
      <c r="W11" s="222">
        <v>46100</v>
      </c>
      <c r="X11" s="222">
        <v>47500</v>
      </c>
      <c r="Y11" s="222">
        <v>48900</v>
      </c>
      <c r="Z11" s="222">
        <v>50400</v>
      </c>
      <c r="AA11" s="222">
        <v>51900</v>
      </c>
      <c r="AB11" s="222">
        <v>53500</v>
      </c>
      <c r="AC11" s="222">
        <v>55100</v>
      </c>
      <c r="AD11" s="222">
        <v>56800</v>
      </c>
      <c r="AE11" s="222">
        <v>58500</v>
      </c>
      <c r="AF11" s="222">
        <v>60300</v>
      </c>
      <c r="AG11" s="222">
        <v>62100</v>
      </c>
      <c r="AH11" s="222">
        <v>64000</v>
      </c>
      <c r="AI11" s="222">
        <v>65900</v>
      </c>
      <c r="AJ11" s="222">
        <v>67900</v>
      </c>
      <c r="AK11" s="222">
        <v>69900</v>
      </c>
      <c r="AL11" s="222">
        <v>72000</v>
      </c>
      <c r="AM11" s="222">
        <v>74200</v>
      </c>
      <c r="AN11" s="222">
        <v>76400</v>
      </c>
      <c r="AO11" s="222">
        <v>78700</v>
      </c>
      <c r="AP11" s="222">
        <v>81100</v>
      </c>
      <c r="AQ11" s="222">
        <v>83500</v>
      </c>
      <c r="AR11" s="222">
        <v>86000</v>
      </c>
      <c r="AS11" s="222">
        <v>88600</v>
      </c>
      <c r="AT11" s="222">
        <v>91300</v>
      </c>
    </row>
    <row r="12" spans="2:46" ht="15.75">
      <c r="B12" s="611" t="s">
        <v>47</v>
      </c>
      <c r="C12" s="220">
        <v>3600</v>
      </c>
      <c r="D12" s="218">
        <v>11</v>
      </c>
      <c r="E12" s="221">
        <v>10</v>
      </c>
      <c r="F12" s="613"/>
      <c r="G12" s="220">
        <v>33800</v>
      </c>
      <c r="H12" s="220">
        <v>34800</v>
      </c>
      <c r="I12" s="220">
        <v>35800</v>
      </c>
      <c r="J12" s="220">
        <v>36900</v>
      </c>
      <c r="K12" s="220">
        <v>38000</v>
      </c>
      <c r="L12" s="220">
        <v>39100</v>
      </c>
      <c r="M12" s="220">
        <v>40300</v>
      </c>
      <c r="N12" s="220">
        <v>41500</v>
      </c>
      <c r="O12" s="220">
        <v>42700</v>
      </c>
      <c r="P12" s="220">
        <v>44000</v>
      </c>
      <c r="Q12" s="220">
        <v>45300</v>
      </c>
      <c r="R12" s="220">
        <v>46700</v>
      </c>
      <c r="S12" s="220">
        <v>48100</v>
      </c>
      <c r="T12" s="220">
        <v>49500</v>
      </c>
      <c r="U12" s="220">
        <v>51000</v>
      </c>
      <c r="V12" s="220">
        <v>52500</v>
      </c>
      <c r="W12" s="220">
        <v>54100</v>
      </c>
      <c r="X12" s="220">
        <v>55700</v>
      </c>
      <c r="Y12" s="220">
        <v>57400</v>
      </c>
      <c r="Z12" s="220">
        <v>59100</v>
      </c>
      <c r="AA12" s="220">
        <v>60900</v>
      </c>
      <c r="AB12" s="220">
        <v>62700</v>
      </c>
      <c r="AC12" s="220">
        <v>64600</v>
      </c>
      <c r="AD12" s="220">
        <v>66500</v>
      </c>
      <c r="AE12" s="220">
        <v>68500</v>
      </c>
      <c r="AF12" s="220">
        <v>70600</v>
      </c>
      <c r="AG12" s="220">
        <v>72700</v>
      </c>
      <c r="AH12" s="220">
        <v>74900</v>
      </c>
      <c r="AI12" s="220">
        <v>77100</v>
      </c>
      <c r="AJ12" s="220">
        <v>79400</v>
      </c>
      <c r="AK12" s="220">
        <v>81800</v>
      </c>
      <c r="AL12" s="220">
        <v>84300</v>
      </c>
      <c r="AM12" s="220">
        <v>86800</v>
      </c>
      <c r="AN12" s="220">
        <v>89400</v>
      </c>
      <c r="AO12" s="220">
        <v>92100</v>
      </c>
      <c r="AP12" s="220">
        <v>94900</v>
      </c>
      <c r="AQ12" s="220">
        <v>97700</v>
      </c>
      <c r="AR12" s="220">
        <v>100600</v>
      </c>
      <c r="AS12" s="220">
        <v>103600</v>
      </c>
      <c r="AT12" s="220">
        <v>106700</v>
      </c>
    </row>
    <row r="13" spans="2:46" ht="15.75">
      <c r="B13" s="611"/>
      <c r="C13" s="220">
        <v>4200</v>
      </c>
      <c r="D13" s="218">
        <v>12</v>
      </c>
      <c r="E13" s="221">
        <v>11</v>
      </c>
      <c r="F13" s="613"/>
      <c r="G13" s="220">
        <v>37800</v>
      </c>
      <c r="H13" s="220">
        <v>38900</v>
      </c>
      <c r="I13" s="220">
        <v>40100</v>
      </c>
      <c r="J13" s="220">
        <v>41300</v>
      </c>
      <c r="K13" s="220">
        <v>42500</v>
      </c>
      <c r="L13" s="220">
        <v>43800</v>
      </c>
      <c r="M13" s="220">
        <v>45100</v>
      </c>
      <c r="N13" s="220">
        <v>46500</v>
      </c>
      <c r="O13" s="220">
        <v>47900</v>
      </c>
      <c r="P13" s="220">
        <v>49300</v>
      </c>
      <c r="Q13" s="220">
        <v>50800</v>
      </c>
      <c r="R13" s="220">
        <v>52300</v>
      </c>
      <c r="S13" s="220">
        <v>53900</v>
      </c>
      <c r="T13" s="220">
        <v>55500</v>
      </c>
      <c r="U13" s="220">
        <v>57200</v>
      </c>
      <c r="V13" s="220">
        <v>58900</v>
      </c>
      <c r="W13" s="220">
        <v>60700</v>
      </c>
      <c r="X13" s="220">
        <v>62500</v>
      </c>
      <c r="Y13" s="220">
        <v>64400</v>
      </c>
      <c r="Z13" s="220">
        <v>66300</v>
      </c>
      <c r="AA13" s="220">
        <v>68300</v>
      </c>
      <c r="AB13" s="220">
        <v>70300</v>
      </c>
      <c r="AC13" s="220">
        <v>72400</v>
      </c>
      <c r="AD13" s="220">
        <v>74600</v>
      </c>
      <c r="AE13" s="220">
        <v>76800</v>
      </c>
      <c r="AF13" s="220">
        <v>79100</v>
      </c>
      <c r="AG13" s="220">
        <v>81500</v>
      </c>
      <c r="AH13" s="220">
        <v>83900</v>
      </c>
      <c r="AI13" s="220">
        <v>86400</v>
      </c>
      <c r="AJ13" s="220">
        <v>89000</v>
      </c>
      <c r="AK13" s="220">
        <v>91700</v>
      </c>
      <c r="AL13" s="220">
        <v>94500</v>
      </c>
      <c r="AM13" s="220">
        <v>97300</v>
      </c>
      <c r="AN13" s="220">
        <v>100200</v>
      </c>
      <c r="AO13" s="220">
        <v>103200</v>
      </c>
      <c r="AP13" s="220">
        <v>106300</v>
      </c>
      <c r="AQ13" s="220">
        <v>109500</v>
      </c>
      <c r="AR13" s="220">
        <v>112800</v>
      </c>
      <c r="AS13" s="220">
        <v>116200</v>
      </c>
      <c r="AT13" s="220">
        <v>119700</v>
      </c>
    </row>
    <row r="14" spans="2:46" ht="15.75">
      <c r="B14" s="611"/>
      <c r="C14" s="220">
        <v>4800</v>
      </c>
      <c r="D14" s="218">
        <v>13</v>
      </c>
      <c r="E14" s="221">
        <v>12</v>
      </c>
      <c r="F14" s="613"/>
      <c r="G14" s="220">
        <v>44300</v>
      </c>
      <c r="H14" s="220">
        <v>45600</v>
      </c>
      <c r="I14" s="220">
        <v>47000</v>
      </c>
      <c r="J14" s="220">
        <v>48400</v>
      </c>
      <c r="K14" s="220">
        <v>49900</v>
      </c>
      <c r="L14" s="220">
        <v>51400</v>
      </c>
      <c r="M14" s="220">
        <v>52900</v>
      </c>
      <c r="N14" s="220">
        <v>54500</v>
      </c>
      <c r="O14" s="220">
        <v>56100</v>
      </c>
      <c r="P14" s="220">
        <v>57800</v>
      </c>
      <c r="Q14" s="220">
        <v>59500</v>
      </c>
      <c r="R14" s="220">
        <v>61300</v>
      </c>
      <c r="S14" s="220">
        <v>63100</v>
      </c>
      <c r="T14" s="220">
        <v>65000</v>
      </c>
      <c r="U14" s="220">
        <v>67000</v>
      </c>
      <c r="V14" s="220">
        <v>69000</v>
      </c>
      <c r="W14" s="220">
        <v>71100</v>
      </c>
      <c r="X14" s="220">
        <v>73200</v>
      </c>
      <c r="Y14" s="220">
        <v>75400</v>
      </c>
      <c r="Z14" s="220">
        <v>77700</v>
      </c>
      <c r="AA14" s="220">
        <v>80000</v>
      </c>
      <c r="AB14" s="220">
        <v>82400</v>
      </c>
      <c r="AC14" s="220">
        <v>84900</v>
      </c>
      <c r="AD14" s="220">
        <v>87400</v>
      </c>
      <c r="AE14" s="220">
        <v>90000</v>
      </c>
      <c r="AF14" s="220">
        <v>92700</v>
      </c>
      <c r="AG14" s="220">
        <v>95500</v>
      </c>
      <c r="AH14" s="220">
        <v>98400</v>
      </c>
      <c r="AI14" s="220">
        <v>101400</v>
      </c>
      <c r="AJ14" s="220">
        <v>104400</v>
      </c>
      <c r="AK14" s="220">
        <v>107500</v>
      </c>
      <c r="AL14" s="220">
        <v>110700</v>
      </c>
      <c r="AM14" s="220">
        <v>114000</v>
      </c>
      <c r="AN14" s="220">
        <v>117400</v>
      </c>
      <c r="AO14" s="220">
        <v>120900</v>
      </c>
      <c r="AP14" s="220">
        <v>124500</v>
      </c>
      <c r="AQ14" s="220">
        <v>128200</v>
      </c>
      <c r="AR14" s="220">
        <v>132000</v>
      </c>
      <c r="AS14" s="220">
        <v>136000</v>
      </c>
      <c r="AT14" s="220">
        <v>140100</v>
      </c>
    </row>
    <row r="15" spans="2:46" ht="15.75">
      <c r="B15" s="611"/>
      <c r="C15" s="220">
        <v>5400</v>
      </c>
      <c r="D15" s="218">
        <v>15</v>
      </c>
      <c r="E15" s="221">
        <v>13</v>
      </c>
      <c r="F15" s="613"/>
      <c r="G15" s="220">
        <v>53100</v>
      </c>
      <c r="H15" s="220">
        <v>54700</v>
      </c>
      <c r="I15" s="220">
        <v>56300</v>
      </c>
      <c r="J15" s="220">
        <v>58000</v>
      </c>
      <c r="K15" s="220">
        <v>59700</v>
      </c>
      <c r="L15" s="220">
        <v>61500</v>
      </c>
      <c r="M15" s="220">
        <v>63300</v>
      </c>
      <c r="N15" s="220">
        <v>65200</v>
      </c>
      <c r="O15" s="220">
        <v>67200</v>
      </c>
      <c r="P15" s="220">
        <v>69200</v>
      </c>
      <c r="Q15" s="220">
        <v>71300</v>
      </c>
      <c r="R15" s="220">
        <v>73400</v>
      </c>
      <c r="S15" s="220">
        <v>75600</v>
      </c>
      <c r="T15" s="220">
        <v>77900</v>
      </c>
      <c r="U15" s="220">
        <v>80200</v>
      </c>
      <c r="V15" s="220">
        <v>82600</v>
      </c>
      <c r="W15" s="220">
        <v>85100</v>
      </c>
      <c r="X15" s="220">
        <v>87700</v>
      </c>
      <c r="Y15" s="220">
        <v>90300</v>
      </c>
      <c r="Z15" s="220">
        <v>93000</v>
      </c>
      <c r="AA15" s="220">
        <v>95800</v>
      </c>
      <c r="AB15" s="220">
        <v>98700</v>
      </c>
      <c r="AC15" s="220">
        <v>101700</v>
      </c>
      <c r="AD15" s="220">
        <v>104800</v>
      </c>
      <c r="AE15" s="220">
        <v>107900</v>
      </c>
      <c r="AF15" s="220">
        <v>111100</v>
      </c>
      <c r="AG15" s="220">
        <v>114400</v>
      </c>
      <c r="AH15" s="220">
        <v>117800</v>
      </c>
      <c r="AI15" s="220">
        <v>121300</v>
      </c>
      <c r="AJ15" s="220">
        <v>124900</v>
      </c>
      <c r="AK15" s="220">
        <v>128600</v>
      </c>
      <c r="AL15" s="220">
        <v>132500</v>
      </c>
      <c r="AM15" s="220">
        <v>136500</v>
      </c>
      <c r="AN15" s="220">
        <v>140600</v>
      </c>
      <c r="AO15" s="220">
        <v>144800</v>
      </c>
      <c r="AP15" s="220">
        <v>149100</v>
      </c>
      <c r="AQ15" s="220">
        <v>153600</v>
      </c>
      <c r="AR15" s="220">
        <v>158200</v>
      </c>
      <c r="AS15" s="220">
        <v>162900</v>
      </c>
      <c r="AT15" s="220">
        <v>167800</v>
      </c>
    </row>
    <row r="16" spans="2:46" ht="15.75">
      <c r="B16" s="611" t="s">
        <v>48</v>
      </c>
      <c r="C16" s="220">
        <v>5400</v>
      </c>
      <c r="D16" s="218">
        <v>15</v>
      </c>
      <c r="E16" s="221">
        <v>14</v>
      </c>
      <c r="F16" s="613"/>
      <c r="G16" s="222">
        <v>56100</v>
      </c>
      <c r="H16" s="222">
        <v>57800</v>
      </c>
      <c r="I16" s="222">
        <v>59500</v>
      </c>
      <c r="J16" s="222">
        <v>61300</v>
      </c>
      <c r="K16" s="222">
        <v>63100</v>
      </c>
      <c r="L16" s="222">
        <v>65000</v>
      </c>
      <c r="M16" s="222">
        <v>67000</v>
      </c>
      <c r="N16" s="222">
        <v>69000</v>
      </c>
      <c r="O16" s="222">
        <v>71100</v>
      </c>
      <c r="P16" s="222">
        <v>73200</v>
      </c>
      <c r="Q16" s="222">
        <v>75400</v>
      </c>
      <c r="R16" s="222">
        <v>77700</v>
      </c>
      <c r="S16" s="222">
        <v>80000</v>
      </c>
      <c r="T16" s="222">
        <v>82400</v>
      </c>
      <c r="U16" s="222">
        <v>84900</v>
      </c>
      <c r="V16" s="222">
        <v>87400</v>
      </c>
      <c r="W16" s="222">
        <v>90000</v>
      </c>
      <c r="X16" s="222">
        <v>92700</v>
      </c>
      <c r="Y16" s="222">
        <v>95500</v>
      </c>
      <c r="Z16" s="222">
        <v>98400</v>
      </c>
      <c r="AA16" s="222">
        <v>101400</v>
      </c>
      <c r="AB16" s="222">
        <v>104400</v>
      </c>
      <c r="AC16" s="222">
        <v>107500</v>
      </c>
      <c r="AD16" s="222">
        <v>110700</v>
      </c>
      <c r="AE16" s="222">
        <v>114000</v>
      </c>
      <c r="AF16" s="222">
        <v>117400</v>
      </c>
      <c r="AG16" s="222">
        <v>120900</v>
      </c>
      <c r="AH16" s="222">
        <v>124500</v>
      </c>
      <c r="AI16" s="222">
        <v>128200</v>
      </c>
      <c r="AJ16" s="222">
        <v>132000</v>
      </c>
      <c r="AK16" s="222">
        <v>136000</v>
      </c>
      <c r="AL16" s="222">
        <v>140100</v>
      </c>
      <c r="AM16" s="222">
        <v>144300</v>
      </c>
      <c r="AN16" s="222">
        <v>148600</v>
      </c>
      <c r="AO16" s="222">
        <v>153100</v>
      </c>
      <c r="AP16" s="222">
        <v>157700</v>
      </c>
      <c r="AQ16" s="222">
        <v>162400</v>
      </c>
      <c r="AR16" s="222">
        <v>167300</v>
      </c>
      <c r="AS16" s="222">
        <v>172300</v>
      </c>
      <c r="AT16" s="222">
        <v>177500</v>
      </c>
    </row>
    <row r="17" spans="2:46" ht="15.75">
      <c r="B17" s="611"/>
      <c r="C17" s="220">
        <v>6000</v>
      </c>
      <c r="D17" s="218">
        <v>16</v>
      </c>
      <c r="E17" s="221">
        <v>15</v>
      </c>
      <c r="F17" s="613"/>
      <c r="G17" s="222">
        <v>60700</v>
      </c>
      <c r="H17" s="222">
        <v>62500</v>
      </c>
      <c r="I17" s="222">
        <v>64400</v>
      </c>
      <c r="J17" s="222">
        <v>66300</v>
      </c>
      <c r="K17" s="222">
        <v>68300</v>
      </c>
      <c r="L17" s="222">
        <v>70300</v>
      </c>
      <c r="M17" s="222">
        <v>72400</v>
      </c>
      <c r="N17" s="222">
        <v>74600</v>
      </c>
      <c r="O17" s="222">
        <v>76800</v>
      </c>
      <c r="P17" s="222">
        <v>79100</v>
      </c>
      <c r="Q17" s="222">
        <v>81500</v>
      </c>
      <c r="R17" s="222">
        <v>83900</v>
      </c>
      <c r="S17" s="222">
        <v>86400</v>
      </c>
      <c r="T17" s="222">
        <v>89000</v>
      </c>
      <c r="U17" s="222">
        <v>91700</v>
      </c>
      <c r="V17" s="222">
        <v>94500</v>
      </c>
      <c r="W17" s="222">
        <v>97300</v>
      </c>
      <c r="X17" s="222">
        <v>100200</v>
      </c>
      <c r="Y17" s="222">
        <v>103200</v>
      </c>
      <c r="Z17" s="222">
        <v>106300</v>
      </c>
      <c r="AA17" s="222">
        <v>109500</v>
      </c>
      <c r="AB17" s="222">
        <v>112800</v>
      </c>
      <c r="AC17" s="222">
        <v>116200</v>
      </c>
      <c r="AD17" s="222">
        <v>119700</v>
      </c>
      <c r="AE17" s="222">
        <v>123300</v>
      </c>
      <c r="AF17" s="222">
        <v>127000</v>
      </c>
      <c r="AG17" s="222">
        <v>130800</v>
      </c>
      <c r="AH17" s="222">
        <v>134700</v>
      </c>
      <c r="AI17" s="222">
        <v>138700</v>
      </c>
      <c r="AJ17" s="222">
        <v>142900</v>
      </c>
      <c r="AK17" s="222">
        <v>147200</v>
      </c>
      <c r="AL17" s="222">
        <v>151600</v>
      </c>
      <c r="AM17" s="222">
        <v>156100</v>
      </c>
      <c r="AN17" s="222">
        <v>160800</v>
      </c>
      <c r="AO17" s="222">
        <v>165600</v>
      </c>
      <c r="AP17" s="222">
        <v>170600</v>
      </c>
      <c r="AQ17" s="222">
        <v>175700</v>
      </c>
      <c r="AR17" s="222">
        <v>181000</v>
      </c>
      <c r="AS17" s="222">
        <v>186400</v>
      </c>
      <c r="AT17" s="222">
        <v>192000</v>
      </c>
    </row>
    <row r="18" spans="2:46" ht="15.75">
      <c r="B18" s="611"/>
      <c r="C18" s="220">
        <v>6600</v>
      </c>
      <c r="D18" s="218">
        <v>17</v>
      </c>
      <c r="E18" s="221">
        <v>16</v>
      </c>
      <c r="F18" s="613"/>
      <c r="G18" s="222">
        <v>67300</v>
      </c>
      <c r="H18" s="222">
        <v>69300</v>
      </c>
      <c r="I18" s="222">
        <v>71400</v>
      </c>
      <c r="J18" s="222">
        <v>73500</v>
      </c>
      <c r="K18" s="222">
        <v>75700</v>
      </c>
      <c r="L18" s="222">
        <v>78000</v>
      </c>
      <c r="M18" s="222">
        <v>80300</v>
      </c>
      <c r="N18" s="222">
        <v>82700</v>
      </c>
      <c r="O18" s="222">
        <v>85200</v>
      </c>
      <c r="P18" s="222">
        <v>87800</v>
      </c>
      <c r="Q18" s="222">
        <v>90400</v>
      </c>
      <c r="R18" s="222">
        <v>93100</v>
      </c>
      <c r="S18" s="222">
        <v>95900</v>
      </c>
      <c r="T18" s="222">
        <v>98800</v>
      </c>
      <c r="U18" s="222">
        <v>101800</v>
      </c>
      <c r="V18" s="222">
        <v>104900</v>
      </c>
      <c r="W18" s="222">
        <v>108000</v>
      </c>
      <c r="X18" s="222">
        <v>111200</v>
      </c>
      <c r="Y18" s="222">
        <v>114500</v>
      </c>
      <c r="Z18" s="222">
        <v>117900</v>
      </c>
      <c r="AA18" s="222">
        <v>121400</v>
      </c>
      <c r="AB18" s="222">
        <v>125000</v>
      </c>
      <c r="AC18" s="222">
        <v>128800</v>
      </c>
      <c r="AD18" s="222">
        <v>132700</v>
      </c>
      <c r="AE18" s="222">
        <v>136700</v>
      </c>
      <c r="AF18" s="222">
        <v>140800</v>
      </c>
      <c r="AG18" s="222">
        <v>145000</v>
      </c>
      <c r="AH18" s="222">
        <v>149400</v>
      </c>
      <c r="AI18" s="222">
        <v>153900</v>
      </c>
      <c r="AJ18" s="222">
        <v>158500</v>
      </c>
      <c r="AK18" s="222">
        <v>163300</v>
      </c>
      <c r="AL18" s="222">
        <v>168200</v>
      </c>
      <c r="AM18" s="222">
        <v>173200</v>
      </c>
      <c r="AN18" s="222">
        <v>178400</v>
      </c>
      <c r="AO18" s="222">
        <v>183800</v>
      </c>
      <c r="AP18" s="222">
        <v>189300</v>
      </c>
      <c r="AQ18" s="222">
        <v>195000</v>
      </c>
      <c r="AR18" s="222"/>
      <c r="AS18" s="222"/>
      <c r="AT18" s="222"/>
    </row>
    <row r="19" spans="2:46" ht="15.75">
      <c r="B19" s="611"/>
      <c r="C19" s="220">
        <v>6800</v>
      </c>
      <c r="D19" s="218">
        <v>18</v>
      </c>
      <c r="E19" s="221">
        <v>17</v>
      </c>
      <c r="F19" s="613"/>
      <c r="G19" s="222">
        <v>71000</v>
      </c>
      <c r="H19" s="222">
        <v>73100</v>
      </c>
      <c r="I19" s="222">
        <v>75300</v>
      </c>
      <c r="J19" s="222">
        <v>77600</v>
      </c>
      <c r="K19" s="222">
        <v>79900</v>
      </c>
      <c r="L19" s="222">
        <v>82300</v>
      </c>
      <c r="M19" s="222">
        <v>84800</v>
      </c>
      <c r="N19" s="222">
        <v>87300</v>
      </c>
      <c r="O19" s="222">
        <v>89900</v>
      </c>
      <c r="P19" s="222">
        <v>92600</v>
      </c>
      <c r="Q19" s="222">
        <v>95400</v>
      </c>
      <c r="R19" s="222">
        <v>98300</v>
      </c>
      <c r="S19" s="222">
        <v>101200</v>
      </c>
      <c r="T19" s="222">
        <v>104200</v>
      </c>
      <c r="U19" s="222">
        <v>107300</v>
      </c>
      <c r="V19" s="222">
        <v>110500</v>
      </c>
      <c r="W19" s="222">
        <v>113800</v>
      </c>
      <c r="X19" s="222">
        <v>117200</v>
      </c>
      <c r="Y19" s="222">
        <v>120700</v>
      </c>
      <c r="Z19" s="222">
        <v>124300</v>
      </c>
      <c r="AA19" s="222">
        <v>128000</v>
      </c>
      <c r="AB19" s="222">
        <v>131800</v>
      </c>
      <c r="AC19" s="222">
        <v>135800</v>
      </c>
      <c r="AD19" s="222">
        <v>139900</v>
      </c>
      <c r="AE19" s="222">
        <v>144100</v>
      </c>
      <c r="AF19" s="222">
        <v>148400</v>
      </c>
      <c r="AG19" s="222">
        <v>152900</v>
      </c>
      <c r="AH19" s="222">
        <v>157500</v>
      </c>
      <c r="AI19" s="222">
        <v>162200</v>
      </c>
      <c r="AJ19" s="222">
        <v>167100</v>
      </c>
      <c r="AK19" s="222">
        <v>172100</v>
      </c>
      <c r="AL19" s="222">
        <v>177300</v>
      </c>
      <c r="AM19" s="222">
        <v>182600</v>
      </c>
      <c r="AN19" s="222">
        <v>188100</v>
      </c>
      <c r="AO19" s="222">
        <v>193700</v>
      </c>
      <c r="AP19" s="222">
        <v>199500</v>
      </c>
      <c r="AQ19" s="222"/>
      <c r="AR19" s="222"/>
      <c r="AS19" s="222"/>
      <c r="AT19" s="222"/>
    </row>
    <row r="20" spans="2:46" ht="15.75">
      <c r="B20" s="611"/>
      <c r="C20" s="220">
        <v>7200</v>
      </c>
      <c r="D20" s="218">
        <v>19</v>
      </c>
      <c r="E20" s="221">
        <v>18</v>
      </c>
      <c r="F20" s="613"/>
      <c r="G20" s="222">
        <v>75300</v>
      </c>
      <c r="H20" s="222">
        <v>77600</v>
      </c>
      <c r="I20" s="222">
        <v>79900</v>
      </c>
      <c r="J20" s="222">
        <v>82300</v>
      </c>
      <c r="K20" s="222">
        <v>84800</v>
      </c>
      <c r="L20" s="222">
        <v>87300</v>
      </c>
      <c r="M20" s="222">
        <v>89900</v>
      </c>
      <c r="N20" s="222">
        <v>92600</v>
      </c>
      <c r="O20" s="222">
        <v>95400</v>
      </c>
      <c r="P20" s="222">
        <v>98300</v>
      </c>
      <c r="Q20" s="222">
        <v>101200</v>
      </c>
      <c r="R20" s="222">
        <v>104200</v>
      </c>
      <c r="S20" s="222">
        <v>107300</v>
      </c>
      <c r="T20" s="222">
        <v>110500</v>
      </c>
      <c r="U20" s="222">
        <v>113800</v>
      </c>
      <c r="V20" s="222">
        <v>117200</v>
      </c>
      <c r="W20" s="222">
        <v>120700</v>
      </c>
      <c r="X20" s="222">
        <v>124300</v>
      </c>
      <c r="Y20" s="222">
        <v>128000</v>
      </c>
      <c r="Z20" s="222">
        <v>131800</v>
      </c>
      <c r="AA20" s="222">
        <v>135800</v>
      </c>
      <c r="AB20" s="222">
        <v>139900</v>
      </c>
      <c r="AC20" s="222">
        <v>144100</v>
      </c>
      <c r="AD20" s="222">
        <v>148400</v>
      </c>
      <c r="AE20" s="222">
        <v>152900</v>
      </c>
      <c r="AF20" s="222">
        <v>157500</v>
      </c>
      <c r="AG20" s="222">
        <v>162200</v>
      </c>
      <c r="AH20" s="222">
        <v>167100</v>
      </c>
      <c r="AI20" s="222">
        <v>172100</v>
      </c>
      <c r="AJ20" s="222">
        <v>177300</v>
      </c>
      <c r="AK20" s="222">
        <v>182600</v>
      </c>
      <c r="AL20" s="222">
        <v>188100</v>
      </c>
      <c r="AM20" s="222">
        <v>193700</v>
      </c>
      <c r="AN20" s="222">
        <v>199500</v>
      </c>
      <c r="AO20" s="222"/>
      <c r="AP20" s="222"/>
      <c r="AQ20" s="222"/>
      <c r="AR20" s="222"/>
      <c r="AS20" s="222"/>
      <c r="AT20" s="222"/>
    </row>
    <row r="21" spans="2:46" ht="15.75">
      <c r="B21" s="611"/>
      <c r="C21" s="220">
        <v>7600</v>
      </c>
      <c r="D21" s="218">
        <v>20</v>
      </c>
      <c r="E21" s="221">
        <v>19</v>
      </c>
      <c r="F21" s="613"/>
      <c r="G21" s="222">
        <v>79900</v>
      </c>
      <c r="H21" s="222">
        <v>82300</v>
      </c>
      <c r="I21" s="222">
        <v>84800</v>
      </c>
      <c r="J21" s="222">
        <v>87300</v>
      </c>
      <c r="K21" s="222">
        <v>89900</v>
      </c>
      <c r="L21" s="222">
        <v>92600</v>
      </c>
      <c r="M21" s="222">
        <v>95400</v>
      </c>
      <c r="N21" s="222">
        <v>98300</v>
      </c>
      <c r="O21" s="222">
        <v>101200</v>
      </c>
      <c r="P21" s="222">
        <v>104200</v>
      </c>
      <c r="Q21" s="222">
        <v>107300</v>
      </c>
      <c r="R21" s="222">
        <v>110500</v>
      </c>
      <c r="S21" s="222">
        <v>113800</v>
      </c>
      <c r="T21" s="222">
        <v>117200</v>
      </c>
      <c r="U21" s="222">
        <v>120700</v>
      </c>
      <c r="V21" s="222">
        <v>124300</v>
      </c>
      <c r="W21" s="222">
        <v>128000</v>
      </c>
      <c r="X21" s="222">
        <v>131800</v>
      </c>
      <c r="Y21" s="222">
        <v>135800</v>
      </c>
      <c r="Z21" s="222">
        <v>139900</v>
      </c>
      <c r="AA21" s="222">
        <v>144100</v>
      </c>
      <c r="AB21" s="222">
        <v>148400</v>
      </c>
      <c r="AC21" s="222">
        <v>152900</v>
      </c>
      <c r="AD21" s="222">
        <v>157500</v>
      </c>
      <c r="AE21" s="222">
        <v>162200</v>
      </c>
      <c r="AF21" s="222">
        <v>167100</v>
      </c>
      <c r="AG21" s="222">
        <v>172100</v>
      </c>
      <c r="AH21" s="222">
        <v>177300</v>
      </c>
      <c r="AI21" s="222">
        <v>182600</v>
      </c>
      <c r="AJ21" s="222">
        <v>188100</v>
      </c>
      <c r="AK21" s="222">
        <v>193700</v>
      </c>
      <c r="AL21" s="222">
        <v>199500</v>
      </c>
      <c r="AM21" s="222"/>
      <c r="AN21" s="222"/>
      <c r="AO21" s="222"/>
      <c r="AP21" s="222"/>
      <c r="AQ21" s="222"/>
      <c r="AR21" s="222"/>
      <c r="AS21" s="222"/>
      <c r="AT21" s="222"/>
    </row>
    <row r="22" spans="2:46" ht="15.75">
      <c r="B22" s="611"/>
      <c r="C22" s="220">
        <v>8200</v>
      </c>
      <c r="D22" s="218">
        <v>21</v>
      </c>
      <c r="E22" s="221">
        <v>20</v>
      </c>
      <c r="F22" s="613"/>
      <c r="G22" s="222">
        <v>88900</v>
      </c>
      <c r="H22" s="222">
        <v>91600</v>
      </c>
      <c r="I22" s="222">
        <v>94300</v>
      </c>
      <c r="J22" s="222">
        <v>97100</v>
      </c>
      <c r="K22" s="222">
        <v>100000</v>
      </c>
      <c r="L22" s="222">
        <v>103000</v>
      </c>
      <c r="M22" s="222">
        <v>106100</v>
      </c>
      <c r="N22" s="222">
        <v>109300</v>
      </c>
      <c r="O22" s="222">
        <v>112600</v>
      </c>
      <c r="P22" s="222">
        <v>116000</v>
      </c>
      <c r="Q22" s="222">
        <v>119500</v>
      </c>
      <c r="R22" s="222">
        <v>123100</v>
      </c>
      <c r="S22" s="222">
        <v>126800</v>
      </c>
      <c r="T22" s="222">
        <v>130600</v>
      </c>
      <c r="U22" s="222">
        <v>134500</v>
      </c>
      <c r="V22" s="222">
        <v>138500</v>
      </c>
      <c r="W22" s="222">
        <v>142700</v>
      </c>
      <c r="X22" s="222">
        <v>147000</v>
      </c>
      <c r="Y22" s="222">
        <v>151400</v>
      </c>
      <c r="Z22" s="222">
        <v>155900</v>
      </c>
      <c r="AA22" s="222">
        <v>160600</v>
      </c>
      <c r="AB22" s="222">
        <v>165400</v>
      </c>
      <c r="AC22" s="222">
        <v>170400</v>
      </c>
      <c r="AD22" s="222">
        <v>175500</v>
      </c>
      <c r="AE22" s="222">
        <v>180800</v>
      </c>
      <c r="AF22" s="222">
        <v>186200</v>
      </c>
      <c r="AG22" s="222">
        <v>191800</v>
      </c>
      <c r="AH22" s="222">
        <v>197600</v>
      </c>
      <c r="AI22" s="222">
        <v>203500</v>
      </c>
      <c r="AJ22" s="222"/>
      <c r="AK22" s="222"/>
      <c r="AL22" s="222"/>
      <c r="AM22" s="222"/>
      <c r="AN22" s="222"/>
      <c r="AO22" s="222"/>
      <c r="AP22" s="222"/>
      <c r="AQ22" s="222"/>
      <c r="AR22" s="222"/>
      <c r="AS22" s="222"/>
      <c r="AT22" s="222"/>
    </row>
    <row r="23" spans="2:46" ht="15.75">
      <c r="B23" s="611" t="s">
        <v>49</v>
      </c>
      <c r="C23" s="220">
        <v>8700</v>
      </c>
      <c r="D23" s="218">
        <v>22</v>
      </c>
      <c r="E23" s="221">
        <v>21</v>
      </c>
      <c r="F23" s="613"/>
      <c r="G23" s="220">
        <v>123100</v>
      </c>
      <c r="H23" s="220">
        <v>126800</v>
      </c>
      <c r="I23" s="220">
        <v>130600</v>
      </c>
      <c r="J23" s="220">
        <v>134500</v>
      </c>
      <c r="K23" s="220">
        <v>138500</v>
      </c>
      <c r="L23" s="220">
        <v>142700</v>
      </c>
      <c r="M23" s="220">
        <v>147000</v>
      </c>
      <c r="N23" s="220">
        <v>151400</v>
      </c>
      <c r="O23" s="220">
        <v>155900</v>
      </c>
      <c r="P23" s="220">
        <v>160600</v>
      </c>
      <c r="Q23" s="220">
        <v>165400</v>
      </c>
      <c r="R23" s="220">
        <v>170400</v>
      </c>
      <c r="S23" s="220">
        <v>175500</v>
      </c>
      <c r="T23" s="220">
        <v>180800</v>
      </c>
      <c r="U23" s="220">
        <v>186200</v>
      </c>
      <c r="V23" s="220">
        <v>191800</v>
      </c>
      <c r="W23" s="220">
        <v>197600</v>
      </c>
      <c r="X23" s="220">
        <v>203500</v>
      </c>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row>
    <row r="24" spans="2:46" ht="15.75">
      <c r="B24" s="611"/>
      <c r="C24" s="220">
        <v>8900</v>
      </c>
      <c r="D24" s="218">
        <v>23</v>
      </c>
      <c r="E24" s="221">
        <v>22</v>
      </c>
      <c r="F24" s="613"/>
      <c r="G24" s="220">
        <v>129700</v>
      </c>
      <c r="H24" s="220">
        <v>133600</v>
      </c>
      <c r="I24" s="220">
        <v>137600</v>
      </c>
      <c r="J24" s="220">
        <v>141700</v>
      </c>
      <c r="K24" s="220">
        <v>146000</v>
      </c>
      <c r="L24" s="220">
        <v>150400</v>
      </c>
      <c r="M24" s="220">
        <v>154900</v>
      </c>
      <c r="N24" s="220">
        <v>159500</v>
      </c>
      <c r="O24" s="220">
        <v>164300</v>
      </c>
      <c r="P24" s="220">
        <v>169200</v>
      </c>
      <c r="Q24" s="220">
        <v>174300</v>
      </c>
      <c r="R24" s="220">
        <v>179500</v>
      </c>
      <c r="S24" s="220">
        <v>184900</v>
      </c>
      <c r="T24" s="220">
        <v>190400</v>
      </c>
      <c r="U24" s="220">
        <v>196100</v>
      </c>
      <c r="V24" s="220">
        <v>202000</v>
      </c>
      <c r="W24" s="220">
        <v>208100</v>
      </c>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row>
    <row r="25" spans="2:46" ht="15.75">
      <c r="B25" s="611"/>
      <c r="C25" s="220">
        <v>9500</v>
      </c>
      <c r="D25" s="218" t="s">
        <v>55</v>
      </c>
      <c r="E25" s="221">
        <v>23</v>
      </c>
      <c r="F25" s="613"/>
      <c r="G25" s="220">
        <v>145800</v>
      </c>
      <c r="H25" s="220">
        <v>150200</v>
      </c>
      <c r="I25" s="220">
        <v>154700</v>
      </c>
      <c r="J25" s="220">
        <v>159300</v>
      </c>
      <c r="K25" s="220">
        <v>164100</v>
      </c>
      <c r="L25" s="220">
        <v>169000</v>
      </c>
      <c r="M25" s="220">
        <v>174100</v>
      </c>
      <c r="N25" s="220">
        <v>179300</v>
      </c>
      <c r="O25" s="220">
        <v>184700</v>
      </c>
      <c r="P25" s="220">
        <v>190200</v>
      </c>
      <c r="Q25" s="220">
        <v>195900</v>
      </c>
      <c r="R25" s="220">
        <v>201800</v>
      </c>
      <c r="S25" s="220">
        <v>207900</v>
      </c>
      <c r="T25" s="220">
        <v>214100</v>
      </c>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row>
    <row r="26" spans="2:46" ht="15.75">
      <c r="B26" s="611"/>
      <c r="C26" s="220">
        <v>10000</v>
      </c>
      <c r="D26" s="218">
        <v>24</v>
      </c>
      <c r="E26" s="221">
        <v>24</v>
      </c>
      <c r="F26" s="614"/>
      <c r="G26" s="220">
        <v>148800</v>
      </c>
      <c r="H26" s="220">
        <v>153300</v>
      </c>
      <c r="I26" s="220">
        <v>157900</v>
      </c>
      <c r="J26" s="220">
        <v>162600</v>
      </c>
      <c r="K26" s="220">
        <v>167500</v>
      </c>
      <c r="L26" s="220">
        <v>172500</v>
      </c>
      <c r="M26" s="220">
        <v>177700</v>
      </c>
      <c r="N26" s="220">
        <v>183000</v>
      </c>
      <c r="O26" s="220">
        <v>188500</v>
      </c>
      <c r="P26" s="220">
        <v>194200</v>
      </c>
      <c r="Q26" s="220">
        <v>200000</v>
      </c>
      <c r="R26" s="220">
        <v>206000</v>
      </c>
      <c r="S26" s="220">
        <v>212200</v>
      </c>
      <c r="T26" s="220">
        <v>218600</v>
      </c>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row>
  </sheetData>
  <sheetProtection password="E8FA" sheet="1" objects="1" scenarios="1"/>
  <mergeCells count="5">
    <mergeCell ref="B3:B11"/>
    <mergeCell ref="F3:F26"/>
    <mergeCell ref="B12:B15"/>
    <mergeCell ref="B16:B22"/>
    <mergeCell ref="B23:B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Basic Data Entry</vt:lpstr>
      <vt:lpstr>MACP Order</vt:lpstr>
      <vt:lpstr>Salary Arear Table</vt:lpstr>
      <vt:lpstr>Surrender Arear</vt:lpstr>
      <vt:lpstr>MACP Application</vt:lpstr>
      <vt:lpstr>MACP Optio Form</vt:lpstr>
      <vt:lpstr>Pay Matrix Chart</vt:lpstr>
      <vt:lpstr>Sheet1</vt:lpstr>
      <vt:lpstr>'MACP Application'!Print_Area</vt:lpstr>
      <vt:lpstr>'MACP Optio Form'!Print_Area</vt:lpstr>
      <vt:lpstr>'MACP Order'!Print_Area</vt:lpstr>
      <vt:lpstr>'Pay Matrix Chart'!Print_Area</vt:lpstr>
      <vt:lpstr>'Salary Arear Table'!Print_Area</vt:lpstr>
      <vt:lpstr>'Surrender Arear'!Print_Area</vt:lpstr>
      <vt:lpstr>'Salary Arear Table'!Print_Titles</vt:lpstr>
      <vt:lpstr>'Surrender Arear'!Print_Titles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2022-09-28T14:55:24Z</dcterms:created>
  <dcterms:modified xsi:type="dcterms:W3CDTF">2024-02-03T06:39:04Z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d725a2ed68bb458db7d2fa731f6efb1e</vt:lpwstr>
  </property>
</Properties>
</file>