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40" yWindow="135" windowWidth="20055" windowHeight="7440" tabRatio="916"/>
  </bookViews>
  <sheets>
    <sheet name="For Help" sheetId="15" r:id="rId1"/>
    <sheet name="Basic Deta" sheetId="1" r:id="rId2"/>
    <sheet name="Exemp.(HRA+Other) &amp; Other incom" sheetId="6" r:id="rId3"/>
    <sheet name="GA-55" sheetId="2" r:id="rId4"/>
    <sheet name="New Regime Calc. Report" sheetId="12" r:id="rId5"/>
    <sheet name="Old Regime Calc. Report" sheetId="8" r:id="rId6"/>
    <sheet name="OLD REGIME" sheetId="13" state="hidden" r:id="rId7"/>
  </sheets>
  <externalReferences>
    <externalReference r:id="rId8"/>
  </externalReferences>
  <definedNames>
    <definedName name="_xlnm.Print_Area" localSheetId="2">'Exemp.(HRA+Other) &amp; Other incom'!$R$1:$AB$28</definedName>
    <definedName name="_xlnm.Print_Area" localSheetId="3">'GA-55'!$B$1:$AC$32</definedName>
    <definedName name="_xlnm.Print_Area" localSheetId="5">'Old Regime Calc. Report'!$B$1:$Q$71</definedName>
    <definedName name="rstatus">[1]data!$N$4:$N$6</definedName>
    <definedName name="Yes">'[1]Annexure-I'!$I$23:$I$24</definedName>
  </definedNames>
  <calcPr calcId="124519"/>
</workbook>
</file>

<file path=xl/calcChain.xml><?xml version="1.0" encoding="utf-8"?>
<calcChain xmlns="http://schemas.openxmlformats.org/spreadsheetml/2006/main">
  <c r="Q63" i="8"/>
  <c r="E13" i="12" l="1"/>
  <c r="Q5"/>
  <c r="B2"/>
  <c r="F21" i="2"/>
  <c r="J9"/>
  <c r="N19" i="1" l="1"/>
  <c r="O66" i="13" s="1"/>
  <c r="B70" i="8"/>
  <c r="B32" i="2"/>
  <c r="U48" i="13"/>
  <c r="M56"/>
  <c r="K56"/>
  <c r="I56"/>
  <c r="C56"/>
  <c r="M55"/>
  <c r="K55"/>
  <c r="I55"/>
  <c r="C55"/>
  <c r="M54"/>
  <c r="K54"/>
  <c r="I54"/>
  <c r="C54"/>
  <c r="M53"/>
  <c r="K53"/>
  <c r="I53"/>
  <c r="C53"/>
  <c r="M52"/>
  <c r="K52"/>
  <c r="I52"/>
  <c r="C52"/>
  <c r="M51"/>
  <c r="K51"/>
  <c r="I51"/>
  <c r="C51"/>
  <c r="M56" i="12"/>
  <c r="K56"/>
  <c r="I56"/>
  <c r="C56"/>
  <c r="M55"/>
  <c r="K55"/>
  <c r="I55"/>
  <c r="C55"/>
  <c r="M54"/>
  <c r="K54"/>
  <c r="I54"/>
  <c r="C54"/>
  <c r="M53"/>
  <c r="K53"/>
  <c r="I53"/>
  <c r="C53"/>
  <c r="M52"/>
  <c r="K52"/>
  <c r="I52"/>
  <c r="C52"/>
  <c r="M51"/>
  <c r="K51"/>
  <c r="I51"/>
  <c r="C51"/>
  <c r="AC30" i="2" l="1"/>
  <c r="AC29"/>
  <c r="AC28"/>
  <c r="AC26"/>
  <c r="AB30"/>
  <c r="AB29"/>
  <c r="AB28"/>
  <c r="AB26"/>
  <c r="AB24"/>
  <c r="O30"/>
  <c r="O29"/>
  <c r="O28"/>
  <c r="O26"/>
  <c r="X18"/>
  <c r="G22"/>
  <c r="O22" s="1"/>
  <c r="C15" i="1"/>
  <c r="O21" i="2" l="1"/>
  <c r="I10" i="1"/>
  <c r="AC3" i="8"/>
  <c r="AD3" s="1"/>
  <c r="AC2"/>
  <c r="AD2" s="1"/>
  <c r="B2"/>
  <c r="AB2" i="2"/>
  <c r="AC4" i="8" l="1"/>
  <c r="C19" i="1"/>
  <c r="AA9" i="2"/>
  <c r="R9"/>
  <c r="AF10"/>
  <c r="AF11"/>
  <c r="AF12"/>
  <c r="AF13"/>
  <c r="AF14"/>
  <c r="AK14" s="1"/>
  <c r="AF15"/>
  <c r="AF16"/>
  <c r="AF17"/>
  <c r="AF18"/>
  <c r="AF19"/>
  <c r="AF20"/>
  <c r="AF9"/>
  <c r="F9"/>
  <c r="G9" s="1"/>
  <c r="Q43" i="13"/>
  <c r="B68"/>
  <c r="M66"/>
  <c r="Q44"/>
  <c r="Q42"/>
  <c r="Q41"/>
  <c r="Q39"/>
  <c r="Q38"/>
  <c r="Q37"/>
  <c r="Q34"/>
  <c r="I31"/>
  <c r="I30"/>
  <c r="O29"/>
  <c r="O28"/>
  <c r="I27"/>
  <c r="O26"/>
  <c r="I26"/>
  <c r="O25"/>
  <c r="I25"/>
  <c r="O24"/>
  <c r="O23"/>
  <c r="Q18"/>
  <c r="E18"/>
  <c r="Q17"/>
  <c r="E17"/>
  <c r="Q16"/>
  <c r="Q19" s="1"/>
  <c r="E16"/>
  <c r="K13"/>
  <c r="H13"/>
  <c r="M11"/>
  <c r="E13" s="1"/>
  <c r="M8"/>
  <c r="M7"/>
  <c r="B73" i="12"/>
  <c r="O71"/>
  <c r="M71"/>
  <c r="Q34"/>
  <c r="Q33"/>
  <c r="I31"/>
  <c r="O30"/>
  <c r="I30"/>
  <c r="O29"/>
  <c r="I29"/>
  <c r="O28"/>
  <c r="I28"/>
  <c r="O27"/>
  <c r="I27"/>
  <c r="O26"/>
  <c r="I26"/>
  <c r="O25"/>
  <c r="I25"/>
  <c r="O24"/>
  <c r="I24"/>
  <c r="O23"/>
  <c r="I23"/>
  <c r="Q18"/>
  <c r="E18"/>
  <c r="Q17"/>
  <c r="E17"/>
  <c r="Q16"/>
  <c r="E16"/>
  <c r="K13"/>
  <c r="H13"/>
  <c r="M11"/>
  <c r="M8"/>
  <c r="M7"/>
  <c r="XFD9" i="6"/>
  <c r="XFD8"/>
  <c r="M11" i="8"/>
  <c r="Q35" i="12" l="1"/>
  <c r="Q9"/>
  <c r="AA10" i="2"/>
  <c r="D19" i="1"/>
  <c r="Q19" i="12"/>
  <c r="Q9" i="13"/>
  <c r="K2" i="8"/>
  <c r="M13" i="12"/>
  <c r="Q14" s="1"/>
  <c r="O32"/>
  <c r="M13" i="13"/>
  <c r="Q14" s="1"/>
  <c r="XFD10" i="6"/>
  <c r="E19" i="1" l="1"/>
  <c r="AA11" i="2"/>
  <c r="Q45" i="12"/>
  <c r="Q46" s="1"/>
  <c r="F19" i="1" l="1"/>
  <c r="AA12" i="2"/>
  <c r="D71" i="12"/>
  <c r="D66" i="13"/>
  <c r="P32" i="2"/>
  <c r="O68" i="8"/>
  <c r="M68"/>
  <c r="AF48"/>
  <c r="T48" i="13" s="1"/>
  <c r="V48" s="1"/>
  <c r="U10" i="2"/>
  <c r="T9"/>
  <c r="S9"/>
  <c r="Q9"/>
  <c r="P9"/>
  <c r="K9"/>
  <c r="K10" s="1"/>
  <c r="K11" s="1"/>
  <c r="K12" s="1"/>
  <c r="K13" s="1"/>
  <c r="K14" s="1"/>
  <c r="K15" s="1"/>
  <c r="K16" s="1"/>
  <c r="K17" s="1"/>
  <c r="K18" s="1"/>
  <c r="K19" s="1"/>
  <c r="K20" s="1"/>
  <c r="J10"/>
  <c r="J11" s="1"/>
  <c r="J12" s="1"/>
  <c r="J13" s="1"/>
  <c r="J14" s="1"/>
  <c r="J15" s="1"/>
  <c r="J16" s="1"/>
  <c r="J17" s="1"/>
  <c r="J18" s="1"/>
  <c r="J19" s="1"/>
  <c r="J20" s="1"/>
  <c r="M11"/>
  <c r="M12" s="1"/>
  <c r="M13" s="1"/>
  <c r="M14" s="1"/>
  <c r="M15" s="1"/>
  <c r="M16" s="1"/>
  <c r="M17" s="1"/>
  <c r="M18" s="1"/>
  <c r="M19" s="1"/>
  <c r="M20" s="1"/>
  <c r="N11"/>
  <c r="N12"/>
  <c r="N13" s="1"/>
  <c r="N14" s="1"/>
  <c r="N15" s="1"/>
  <c r="N16" s="1"/>
  <c r="N17" s="1"/>
  <c r="N18" s="1"/>
  <c r="N19" s="1"/>
  <c r="N20" s="1"/>
  <c r="N10"/>
  <c r="M10"/>
  <c r="I10"/>
  <c r="I11" s="1"/>
  <c r="I12" s="1"/>
  <c r="I13" s="1"/>
  <c r="I14" s="1"/>
  <c r="I15" s="1"/>
  <c r="I16" s="1"/>
  <c r="I17" s="1"/>
  <c r="I18" s="1"/>
  <c r="I19" s="1"/>
  <c r="I20" s="1"/>
  <c r="Q17" i="8"/>
  <c r="Q18"/>
  <c r="Q16"/>
  <c r="E18"/>
  <c r="E17"/>
  <c r="E16"/>
  <c r="G19" i="1" l="1"/>
  <c r="AA13" i="2"/>
  <c r="AB9"/>
  <c r="K68" i="13"/>
  <c r="K73" i="12"/>
  <c r="K70" i="8"/>
  <c r="Q19"/>
  <c r="H19" i="1" l="1"/>
  <c r="AA14" i="2"/>
  <c r="F66" i="13" s="1"/>
  <c r="M8" i="8"/>
  <c r="M7"/>
  <c r="V31" i="2" a="1"/>
  <c r="V31" s="1"/>
  <c r="W31" a="1"/>
  <c r="W31" s="1"/>
  <c r="X31" a="1"/>
  <c r="X31" s="1"/>
  <c r="Y31" a="1"/>
  <c r="Y31" s="1"/>
  <c r="K31" a="1"/>
  <c r="K31" s="1"/>
  <c r="L31" a="1"/>
  <c r="L31" s="1"/>
  <c r="M31" a="1"/>
  <c r="M31" s="1"/>
  <c r="F5"/>
  <c r="F3"/>
  <c r="F71" i="12" l="1"/>
  <c r="I19" i="1"/>
  <c r="AA15" i="2"/>
  <c r="Q9" i="8"/>
  <c r="P3"/>
  <c r="P3" i="13"/>
  <c r="P3" i="12"/>
  <c r="E3" i="8"/>
  <c r="E3" i="13"/>
  <c r="E3" i="12"/>
  <c r="J19" i="1" l="1"/>
  <c r="AA16" i="2"/>
  <c r="I71" i="12" l="1"/>
  <c r="K19" i="1"/>
  <c r="AA17" i="2"/>
  <c r="I66" i="13" s="1"/>
  <c r="D4" i="6"/>
  <c r="C4"/>
  <c r="A4"/>
  <c r="B1" i="2"/>
  <c r="A1" i="6" s="1"/>
  <c r="L19" i="1" l="1"/>
  <c r="AA18" i="2"/>
  <c r="B1" i="8"/>
  <c r="B1" i="12"/>
  <c r="B1" i="13"/>
  <c r="J71" i="12" l="1"/>
  <c r="J66" i="13"/>
  <c r="M19" i="1"/>
  <c r="AA20" i="2" s="1"/>
  <c r="AA19"/>
  <c r="AA5"/>
  <c r="P5"/>
  <c r="AA3"/>
  <c r="P3"/>
  <c r="AI10"/>
  <c r="AI11"/>
  <c r="AI12"/>
  <c r="AH14"/>
  <c r="AI17"/>
  <c r="AI19"/>
  <c r="AI20"/>
  <c r="L71" i="12" l="1"/>
  <c r="L66" i="13"/>
  <c r="K71" i="12"/>
  <c r="K66" i="13"/>
  <c r="L3" i="8"/>
  <c r="L3" i="12"/>
  <c r="L3" i="13"/>
  <c r="AG12" i="2"/>
  <c r="AI9"/>
  <c r="AJ9" s="1"/>
  <c r="AG17"/>
  <c r="AH9"/>
  <c r="AK9" s="1"/>
  <c r="AH17"/>
  <c r="AG14"/>
  <c r="AG19"/>
  <c r="AG10"/>
  <c r="AH19"/>
  <c r="AH11"/>
  <c r="AG9"/>
  <c r="AH10"/>
  <c r="AG20"/>
  <c r="AG11"/>
  <c r="AH20"/>
  <c r="AH12"/>
  <c r="Q66" i="13" l="1"/>
  <c r="Q71" i="12"/>
  <c r="P22" i="2"/>
  <c r="AB22" s="1"/>
  <c r="AC22" s="1"/>
  <c r="Z10"/>
  <c r="Z11" s="1"/>
  <c r="U11"/>
  <c r="U12" s="1"/>
  <c r="U13" s="1"/>
  <c r="U14" s="1"/>
  <c r="U15" s="1"/>
  <c r="U16" s="1"/>
  <c r="U17" s="1"/>
  <c r="U18" s="1"/>
  <c r="U19" s="1"/>
  <c r="U20" s="1"/>
  <c r="L68" i="8"/>
  <c r="K68"/>
  <c r="J68"/>
  <c r="AA31" i="2" a="1"/>
  <c r="T10"/>
  <c r="T11" s="1"/>
  <c r="T12" s="1"/>
  <c r="T13" s="1"/>
  <c r="T14" s="1"/>
  <c r="T15" s="1"/>
  <c r="T16" s="1"/>
  <c r="T17" s="1"/>
  <c r="T18" s="1"/>
  <c r="T19" s="1"/>
  <c r="T20" s="1"/>
  <c r="S10"/>
  <c r="S11" s="1"/>
  <c r="S12" s="1"/>
  <c r="S13" s="1"/>
  <c r="S14" s="1"/>
  <c r="S15" s="1"/>
  <c r="S16" s="1"/>
  <c r="S17" s="1"/>
  <c r="S18" s="1"/>
  <c r="S19" s="1"/>
  <c r="S20" s="1"/>
  <c r="R10"/>
  <c r="R11" s="1"/>
  <c r="R12" s="1"/>
  <c r="R13" s="1"/>
  <c r="R14" s="1"/>
  <c r="R15" s="1"/>
  <c r="R16" s="1"/>
  <c r="R17" s="1"/>
  <c r="R18" s="1"/>
  <c r="R19" s="1"/>
  <c r="R20" s="1"/>
  <c r="Q10"/>
  <c r="Q11" s="1"/>
  <c r="Q12" s="1"/>
  <c r="Q13" s="1"/>
  <c r="Q14" s="1"/>
  <c r="Q15" s="1"/>
  <c r="Q16" s="1"/>
  <c r="Q17" s="1"/>
  <c r="Q18" s="1"/>
  <c r="Q19" s="1"/>
  <c r="Q20" s="1"/>
  <c r="P10"/>
  <c r="AB10" s="1"/>
  <c r="T31" a="1"/>
  <c r="S31" a="1"/>
  <c r="Q31" a="1"/>
  <c r="N31" a="1"/>
  <c r="J31" a="1"/>
  <c r="J31" s="1"/>
  <c r="I31" a="1"/>
  <c r="I31" s="1"/>
  <c r="P11" l="1"/>
  <c r="AB11" s="1"/>
  <c r="D68" i="8"/>
  <c r="F68"/>
  <c r="I68"/>
  <c r="Z12" i="2"/>
  <c r="Z13" s="1"/>
  <c r="Z14" s="1"/>
  <c r="Z15" s="1"/>
  <c r="Z16" s="1"/>
  <c r="Z17" s="1"/>
  <c r="Z18" s="1"/>
  <c r="Z19" s="1"/>
  <c r="Z20" s="1"/>
  <c r="R31" a="1"/>
  <c r="N31"/>
  <c r="U31" a="1"/>
  <c r="U31" s="1"/>
  <c r="I29" i="13" s="1"/>
  <c r="H9" i="2"/>
  <c r="F10"/>
  <c r="G10" s="1"/>
  <c r="S31"/>
  <c r="Q31"/>
  <c r="I23" i="13" s="1"/>
  <c r="R31" i="2"/>
  <c r="T31"/>
  <c r="I24" i="13" s="1"/>
  <c r="AA31" i="2"/>
  <c r="P12" l="1"/>
  <c r="AB12" s="1"/>
  <c r="Q68" i="8"/>
  <c r="Z31" i="2" a="1"/>
  <c r="Z31" s="1"/>
  <c r="H10"/>
  <c r="O9"/>
  <c r="AC9" s="1"/>
  <c r="P21"/>
  <c r="AB21" s="1"/>
  <c r="AC21" s="1"/>
  <c r="F11"/>
  <c r="G11" s="1"/>
  <c r="O10" l="1"/>
  <c r="AC10" s="1"/>
  <c r="P13"/>
  <c r="AB13" s="1"/>
  <c r="F12"/>
  <c r="H11"/>
  <c r="O11" l="1"/>
  <c r="AC11" s="1"/>
  <c r="G12"/>
  <c r="P14"/>
  <c r="AB14" s="1"/>
  <c r="H12"/>
  <c r="F13"/>
  <c r="G23" s="1"/>
  <c r="O12" l="1"/>
  <c r="AC12" s="1"/>
  <c r="G13"/>
  <c r="O23"/>
  <c r="P15"/>
  <c r="AB15" s="1"/>
  <c r="AG13"/>
  <c r="AJ13"/>
  <c r="F14"/>
  <c r="H13"/>
  <c r="AH13"/>
  <c r="O13" l="1"/>
  <c r="AC13" s="1"/>
  <c r="G14"/>
  <c r="P16"/>
  <c r="AB16" s="1"/>
  <c r="AI13"/>
  <c r="AK13"/>
  <c r="P23"/>
  <c r="AB23" s="1"/>
  <c r="AC23" s="1"/>
  <c r="AJ14"/>
  <c r="F15"/>
  <c r="AI14"/>
  <c r="H14"/>
  <c r="AJ15" l="1"/>
  <c r="AG15"/>
  <c r="O14"/>
  <c r="AC14" s="1"/>
  <c r="G15"/>
  <c r="AH15" s="1"/>
  <c r="AK15" s="1"/>
  <c r="P17"/>
  <c r="AB17" s="1"/>
  <c r="P31" a="1"/>
  <c r="H15"/>
  <c r="F16"/>
  <c r="AB31" a="1"/>
  <c r="G16" l="1"/>
  <c r="AH16" s="1"/>
  <c r="AK16" s="1"/>
  <c r="AK21" s="1"/>
  <c r="AJ16"/>
  <c r="AJ21" s="1"/>
  <c r="G25" s="1"/>
  <c r="O25" s="1"/>
  <c r="AG16"/>
  <c r="G27"/>
  <c r="O27" s="1"/>
  <c r="P27" s="1"/>
  <c r="AB27" s="1"/>
  <c r="AC27" s="1"/>
  <c r="AI15"/>
  <c r="O15"/>
  <c r="AC15" s="1"/>
  <c r="P18"/>
  <c r="AB18" s="1"/>
  <c r="H16"/>
  <c r="F17"/>
  <c r="AI16" l="1"/>
  <c r="P25"/>
  <c r="AB25" s="1"/>
  <c r="AC25" s="1"/>
  <c r="O16"/>
  <c r="AC16" s="1"/>
  <c r="G17"/>
  <c r="P19"/>
  <c r="AB19" s="1"/>
  <c r="F18"/>
  <c r="H17"/>
  <c r="O17" l="1"/>
  <c r="AC17" s="1"/>
  <c r="G18"/>
  <c r="P20"/>
  <c r="AB20" s="1"/>
  <c r="AG18"/>
  <c r="AG21" s="1"/>
  <c r="F24" s="1"/>
  <c r="F19"/>
  <c r="AH18"/>
  <c r="AH21" s="1"/>
  <c r="G24" s="1"/>
  <c r="H18"/>
  <c r="O18" l="1"/>
  <c r="AC18" s="1"/>
  <c r="G19"/>
  <c r="O24"/>
  <c r="AC24" s="1"/>
  <c r="AB31"/>
  <c r="P31"/>
  <c r="I28" i="13" s="1"/>
  <c r="AI18" i="2"/>
  <c r="AI21" s="1"/>
  <c r="H19"/>
  <c r="F20"/>
  <c r="O19" l="1"/>
  <c r="AC19" s="1"/>
  <c r="E4" i="6"/>
  <c r="G20" i="2"/>
  <c r="F4" i="6" s="1"/>
  <c r="F31" i="2" a="1"/>
  <c r="H20"/>
  <c r="I4" i="6" s="1"/>
  <c r="F31" i="2"/>
  <c r="O20" l="1"/>
  <c r="AC20" s="1"/>
  <c r="G4" i="6"/>
  <c r="H4" s="1"/>
  <c r="H31" i="2" a="1"/>
  <c r="G31" a="1"/>
  <c r="G31" s="1"/>
  <c r="O31" a="1"/>
  <c r="H31"/>
  <c r="J4" i="6" l="1"/>
  <c r="M4" s="1"/>
  <c r="O31" i="2"/>
  <c r="Q4" i="8" s="1"/>
  <c r="Q4" i="12" l="1"/>
  <c r="Q6" s="1"/>
  <c r="Q10" s="1"/>
  <c r="Q15" s="1"/>
  <c r="Q20" s="1"/>
  <c r="Q47" s="1"/>
  <c r="Q48" s="1"/>
  <c r="Q4" i="13"/>
  <c r="AC31" i="2" a="1"/>
  <c r="AC31" s="1"/>
  <c r="Y62" i="12" l="1"/>
  <c r="X54" l="1"/>
  <c r="X55" s="1"/>
  <c r="C57"/>
  <c r="P57"/>
  <c r="Y42"/>
  <c r="Y43" s="1"/>
  <c r="AB42"/>
  <c r="AB43" s="1"/>
  <c r="AC54"/>
  <c r="AA42"/>
  <c r="AA43" s="1"/>
  <c r="AA54"/>
  <c r="AA55" s="1"/>
  <c r="Q55" s="1"/>
  <c r="Y54"/>
  <c r="Y55" s="1"/>
  <c r="Q53" s="1"/>
  <c r="Z54"/>
  <c r="Z55" s="1"/>
  <c r="Q54" s="1"/>
  <c r="AI53"/>
  <c r="AL53" s="1"/>
  <c r="AL55" s="1"/>
  <c r="X42"/>
  <c r="X43" s="1"/>
  <c r="Z42"/>
  <c r="Z43" s="1"/>
  <c r="AB54"/>
  <c r="AD54"/>
  <c r="AD55" s="1"/>
  <c r="Q52" l="1"/>
  <c r="AJ53"/>
  <c r="AC55"/>
  <c r="AK53"/>
  <c r="AK55" s="1"/>
  <c r="AB55"/>
  <c r="Q56" s="1"/>
  <c r="O27" i="13"/>
  <c r="Y61" i="12" l="1"/>
  <c r="Q40" i="13"/>
  <c r="Q45" s="1"/>
  <c r="Q57" i="12" l="1"/>
  <c r="Q58" s="1"/>
  <c r="AE55"/>
  <c r="Q63" s="1"/>
  <c r="Q59"/>
  <c r="O30" i="13"/>
  <c r="O32" s="1"/>
  <c r="Q33" s="1"/>
  <c r="Q35" s="1"/>
  <c r="Q46" s="1"/>
  <c r="AH55" i="12" l="1"/>
  <c r="AH56" s="1"/>
  <c r="AH58" l="1"/>
  <c r="AJ55" s="1"/>
  <c r="AJ58" s="1"/>
  <c r="AH59"/>
  <c r="N4" i="6"/>
  <c r="L4"/>
  <c r="T4" s="1"/>
  <c r="K4" l="1"/>
  <c r="Q5" i="13" l="1"/>
  <c r="Q6" s="1"/>
  <c r="Q10" s="1"/>
  <c r="Q15" s="1"/>
  <c r="Q20" s="1"/>
  <c r="Q47" s="1"/>
  <c r="Q48" s="1"/>
  <c r="Z42" l="1"/>
  <c r="W42"/>
  <c r="W43" s="1"/>
  <c r="Q52" s="1"/>
  <c r="Y42"/>
  <c r="X42"/>
  <c r="X43" l="1"/>
  <c r="Q53" s="1"/>
  <c r="X44"/>
  <c r="Z43"/>
  <c r="Q55" s="1"/>
  <c r="Z44"/>
  <c r="Z45"/>
  <c r="Y44"/>
  <c r="Y45"/>
  <c r="Y43"/>
  <c r="Q54" s="1"/>
  <c r="Q57" l="1"/>
  <c r="Q58" s="1"/>
  <c r="Q59" l="1"/>
  <c r="Q60" l="1"/>
  <c r="Q61" s="1"/>
  <c r="M51" i="8"/>
  <c r="C51"/>
  <c r="C55"/>
  <c r="H13"/>
  <c r="K52"/>
  <c r="C54"/>
  <c r="M56"/>
  <c r="M52"/>
  <c r="I51"/>
  <c r="I54"/>
  <c r="C56"/>
  <c r="C52"/>
  <c r="I56"/>
  <c r="I55"/>
  <c r="K56"/>
  <c r="K53"/>
  <c r="K51"/>
  <c r="K55"/>
  <c r="M55"/>
  <c r="I53"/>
  <c r="K54"/>
  <c r="K13"/>
  <c r="C53"/>
  <c r="M54"/>
  <c r="M53"/>
  <c r="I52"/>
  <c r="E13"/>
  <c r="Q34"/>
  <c r="I24"/>
  <c r="I25"/>
  <c r="Q38"/>
  <c r="I26"/>
  <c r="Q39"/>
  <c r="Q40"/>
  <c r="I27"/>
  <c r="Q41"/>
  <c r="I28"/>
  <c r="Q42"/>
  <c r="I29"/>
  <c r="Q43"/>
  <c r="I30"/>
  <c r="Q44"/>
  <c r="I31"/>
  <c r="O23"/>
  <c r="Q37"/>
  <c r="O24"/>
  <c r="O25"/>
  <c r="O26"/>
  <c r="O27"/>
  <c r="O28"/>
  <c r="O29"/>
  <c r="O30"/>
  <c r="I23"/>
  <c r="Q5"/>
  <c r="AE48"/>
  <c r="AG48" s="1"/>
  <c r="Q45" l="1"/>
  <c r="M13"/>
  <c r="Q14" s="1"/>
  <c r="O32"/>
  <c r="Q33" s="1"/>
  <c r="Q35" s="1"/>
  <c r="Q6"/>
  <c r="Q10" s="1"/>
  <c r="Q15" l="1"/>
  <c r="Q20" s="1"/>
  <c r="Q46"/>
  <c r="Q47" l="1"/>
  <c r="Q48" s="1"/>
  <c r="AH42" s="1"/>
  <c r="AH43" s="1"/>
  <c r="Q52" s="1"/>
  <c r="AJ42" l="1"/>
  <c r="AJ44" s="1"/>
  <c r="AK42"/>
  <c r="AK45" s="1"/>
  <c r="AI42"/>
  <c r="AI43" s="1"/>
  <c r="AM43"/>
  <c r="Q60" s="1"/>
  <c r="AM45"/>
  <c r="AM44"/>
  <c r="Q56"/>
  <c r="AK43"/>
  <c r="Q55" s="1"/>
  <c r="AK44" l="1"/>
  <c r="AL43"/>
  <c r="Q53"/>
  <c r="Q57" s="1"/>
  <c r="AJ43"/>
  <c r="Q54" s="1"/>
  <c r="AJ45"/>
  <c r="AL45" s="1"/>
  <c r="AI44"/>
  <c r="AL44" l="1"/>
  <c r="Q58"/>
  <c r="Q62" i="13" l="1"/>
  <c r="Q63" s="1"/>
  <c r="Q64" s="1"/>
  <c r="Q59" i="8"/>
  <c r="Q61" s="1"/>
  <c r="Q62" l="1"/>
  <c r="Q64"/>
  <c r="Q67" i="12"/>
  <c r="X8" i="8"/>
  <c r="L67" i="13"/>
  <c r="Q67"/>
  <c r="Q65" i="8" l="1"/>
  <c r="Q66" s="1"/>
  <c r="Q69" l="1"/>
  <c r="U8" i="12"/>
  <c r="L69" i="8"/>
  <c r="Q60" i="12" l="1"/>
  <c r="Q61" s="1"/>
  <c r="Q62" s="1"/>
  <c r="Q64" l="1"/>
  <c r="Q65" l="1"/>
  <c r="Q66" s="1"/>
  <c r="Q68" s="1"/>
  <c r="Q69" s="1"/>
  <c r="U12" s="1"/>
  <c r="S12" l="1"/>
  <c r="S8"/>
  <c r="X12" i="8"/>
  <c r="L72" i="12"/>
  <c r="Q72"/>
  <c r="S8" i="8" l="1"/>
  <c r="S12"/>
</calcChain>
</file>

<file path=xl/comments1.xml><?xml version="1.0" encoding="utf-8"?>
<comments xmlns="http://schemas.openxmlformats.org/spreadsheetml/2006/main">
  <authors>
    <author>DELL</author>
  </authors>
  <commentList>
    <comment ref="M4" authorId="0">
      <text>
        <r>
          <rPr>
            <b/>
            <sz val="14"/>
            <color indexed="81"/>
            <rFont val="Tahoma"/>
            <family val="2"/>
          </rPr>
          <t>Note:</t>
        </r>
        <r>
          <rPr>
            <b/>
            <sz val="10"/>
            <color indexed="81"/>
            <rFont val="Tahoma"/>
            <family val="2"/>
          </rPr>
          <t xml:space="preserve">आपके Basic+DA का 10% 1 लाख से ऊपर होने की स्थिति में यहाँ शून्य अंकित दिखेगा. 
यहाँ दर्शाई राशी आपके द्वारा HRA में पूर्ण राहत हेतु आवश्यक मासिक रिसिप्ट की निकटतम 10 रूपये में राशी है.
</t>
        </r>
        <r>
          <rPr>
            <b/>
            <sz val="12"/>
            <color indexed="81"/>
            <rFont val="Tahoma"/>
            <family val="2"/>
          </rPr>
          <t>आवश्यक हो तो ही संशोधन करें.</t>
        </r>
        <r>
          <rPr>
            <b/>
            <sz val="11"/>
            <color indexed="81"/>
            <rFont val="Tahoma"/>
            <family val="2"/>
          </rPr>
          <t>अन्यथा आपके द्वारा वांछित मासिक रिसिप्ट की राशी दर्ज करें.</t>
        </r>
        <r>
          <rPr>
            <sz val="11"/>
            <color indexed="81"/>
            <rFont val="Tahoma"/>
            <family val="2"/>
          </rPr>
          <t xml:space="preserve">
HRA में राहत नहीं लेने की स्थिति में यहाँ शून्य (0) अंकित करें.
वार्षिक रिसिप्ट राशी 1 लाख के भीतर रखने हेतु 8300 की राशी अंकित करें.
</t>
        </r>
      </text>
    </comment>
  </commentList>
</comments>
</file>

<file path=xl/sharedStrings.xml><?xml version="1.0" encoding="utf-8"?>
<sst xmlns="http://schemas.openxmlformats.org/spreadsheetml/2006/main" count="712" uniqueCount="293">
  <si>
    <t>PREPARED BY :- UMMED TARAD (TEACHER, GSSS RAIMALWADA-BAPINI, JODHPUR)</t>
  </si>
  <si>
    <t>Govt. Sr. School Raimalwada</t>
  </si>
  <si>
    <t>Jodhpur</t>
  </si>
  <si>
    <t>Mobile Number-9166973141, Email ID-ummedtrdedu@gmail.com</t>
  </si>
  <si>
    <t>Sr. No.</t>
  </si>
  <si>
    <t>Post</t>
  </si>
  <si>
    <t>Month</t>
  </si>
  <si>
    <t>Account Number</t>
  </si>
  <si>
    <t>Total</t>
  </si>
  <si>
    <t>Employee Name</t>
  </si>
  <si>
    <t>Employee ID</t>
  </si>
  <si>
    <t>Designation</t>
  </si>
  <si>
    <t>Pay Matrix Level</t>
  </si>
  <si>
    <t>Deta Entry For School and Employee</t>
  </si>
  <si>
    <t>Surrender</t>
  </si>
  <si>
    <t>Claimed (Yes/No)</t>
  </si>
  <si>
    <t>Deducted Amount</t>
  </si>
  <si>
    <t>Extra Paid Status</t>
  </si>
  <si>
    <t>Bonus</t>
  </si>
  <si>
    <t xml:space="preserve">GPF/GPF-2004 </t>
  </si>
  <si>
    <t>SI</t>
  </si>
  <si>
    <t>SI Loan</t>
  </si>
  <si>
    <t>LIC</t>
  </si>
  <si>
    <t>RGHS</t>
  </si>
  <si>
    <t>Bonus Amount</t>
  </si>
  <si>
    <t>Regular</t>
  </si>
  <si>
    <t>YES</t>
  </si>
  <si>
    <t>TAN No. :-</t>
  </si>
  <si>
    <t>DDO Code :-</t>
  </si>
  <si>
    <t>DDO Name :-</t>
  </si>
  <si>
    <t>District :-</t>
  </si>
  <si>
    <t>TV Number</t>
  </si>
  <si>
    <t>TV Date</t>
  </si>
  <si>
    <t>Basic</t>
  </si>
  <si>
    <t>DA</t>
  </si>
  <si>
    <t>HRA</t>
  </si>
  <si>
    <t>Other-2</t>
  </si>
  <si>
    <t>Other-1</t>
  </si>
  <si>
    <t>Allowance</t>
  </si>
  <si>
    <t>Groce Amount</t>
  </si>
  <si>
    <t>Deductions</t>
  </si>
  <si>
    <t>SIL</t>
  </si>
  <si>
    <t>Income Tax</t>
  </si>
  <si>
    <t>Total Deductions</t>
  </si>
  <si>
    <t>Net Payment</t>
  </si>
  <si>
    <t>Sal. Arrear-1</t>
  </si>
  <si>
    <t>Sal. Arrear-2</t>
  </si>
  <si>
    <t>Sal. Arrear-3</t>
  </si>
  <si>
    <t>Financial Year :-</t>
  </si>
  <si>
    <t>Employee Name :-</t>
  </si>
  <si>
    <t>Designation :-</t>
  </si>
  <si>
    <t>Employee ID :-</t>
  </si>
  <si>
    <t>PAN No. :-</t>
  </si>
  <si>
    <t>Pay Matrix Level :-</t>
  </si>
  <si>
    <t>Account Number :-</t>
  </si>
  <si>
    <t>Surr. Arear</t>
  </si>
  <si>
    <t>PAN No.</t>
  </si>
  <si>
    <t>Posted Place</t>
  </si>
  <si>
    <t>Per Month HRA Reciept</t>
  </si>
  <si>
    <t>Quartly Amount For HRA Reciept</t>
  </si>
  <si>
    <t>House Owner Name</t>
  </si>
  <si>
    <t>House Owner Adress</t>
  </si>
  <si>
    <t>House Owner PAN Number</t>
  </si>
  <si>
    <t>HRA Rebate (Rs.)</t>
  </si>
  <si>
    <t>Yearly HRA Recipt (Rs.)</t>
  </si>
  <si>
    <t>HRA CALCULATION</t>
  </si>
  <si>
    <t>Extra income</t>
  </si>
  <si>
    <t>Amount</t>
  </si>
  <si>
    <t>Area of Income</t>
  </si>
  <si>
    <t>Area of Exemption</t>
  </si>
  <si>
    <t>Amout</t>
  </si>
  <si>
    <t>Deposit income tax other than salary</t>
  </si>
  <si>
    <t>Challan Number</t>
  </si>
  <si>
    <t>BSR Code</t>
  </si>
  <si>
    <t>Date</t>
  </si>
  <si>
    <t>PAN :</t>
  </si>
  <si>
    <t>(i)</t>
  </si>
  <si>
    <t>(x)</t>
  </si>
  <si>
    <t>(ii)</t>
  </si>
  <si>
    <t>(xi)</t>
  </si>
  <si>
    <t>(iii)</t>
  </si>
  <si>
    <t>(xii)</t>
  </si>
  <si>
    <t>(iv)</t>
  </si>
  <si>
    <t>(xiii)</t>
  </si>
  <si>
    <t>(v)</t>
  </si>
  <si>
    <t>(xv)</t>
  </si>
  <si>
    <t>(vi)</t>
  </si>
  <si>
    <t>(xiv)</t>
  </si>
  <si>
    <t>(vii)</t>
  </si>
  <si>
    <t>(xvi)</t>
  </si>
  <si>
    <t>(viii)</t>
  </si>
  <si>
    <t>(xvii)</t>
  </si>
  <si>
    <t>(ix)</t>
  </si>
  <si>
    <t>(xviii)</t>
  </si>
  <si>
    <t>Extra exemptions</t>
  </si>
  <si>
    <t>GIS</t>
  </si>
  <si>
    <t>GPF/ GPF-2004</t>
  </si>
  <si>
    <t>DP</t>
  </si>
  <si>
    <t>Washing All.</t>
  </si>
  <si>
    <t>Handi. All.</t>
  </si>
  <si>
    <t>ROP           (If any)</t>
  </si>
  <si>
    <t>HBA</t>
  </si>
  <si>
    <t>CmCorona Relief</t>
  </si>
  <si>
    <t>Hitkari Nidhi</t>
  </si>
  <si>
    <t>Income Tax Calculation F.Y. 2022-22 (A.Y.2023-24)</t>
  </si>
  <si>
    <t>9(i)</t>
  </si>
  <si>
    <t>9(ii)</t>
  </si>
  <si>
    <t>9(iii)</t>
  </si>
  <si>
    <t>GPF/GPF 2004</t>
  </si>
  <si>
    <t>B</t>
  </si>
  <si>
    <t>Posting Place Name</t>
  </si>
  <si>
    <t>DDO Office Name :-</t>
  </si>
  <si>
    <t>Extra TDS Deposited (Via Challan etc)</t>
  </si>
  <si>
    <t>Income Tax Refundable/Payble</t>
  </si>
  <si>
    <t>Rs.</t>
  </si>
  <si>
    <t>गृहकर</t>
  </si>
  <si>
    <t>गृह ऋण किश्त मूल (जो वेतन से नहीं काटा गया)</t>
  </si>
  <si>
    <t>गृह ऋण किश्त ब्याज (जो वेतन से नहीं काटा गया)</t>
  </si>
  <si>
    <t>जीवन बिमा प्रीमियम (जो वेतन से नहीं काटा गया) LIC</t>
  </si>
  <si>
    <t>पी.एल.आई. PLI</t>
  </si>
  <si>
    <t>ट्यूशन फी</t>
  </si>
  <si>
    <t>UPLI/वार्षिक प्लान</t>
  </si>
  <si>
    <t>राष्ट्रीय बचत पत्र (NSC)</t>
  </si>
  <si>
    <t>राष्ट्रीय बचत पत्र पर अदत ब्याज</t>
  </si>
  <si>
    <t>लोक भविष्य निधि (PPF)</t>
  </si>
  <si>
    <t>राष्ट्रीय बचत स्कीम (NSS)</t>
  </si>
  <si>
    <t>सुकन्या समृद्धि योजना</t>
  </si>
  <si>
    <t>अन्य जमा राशी (80 C धारा के अंतर्गत)</t>
  </si>
  <si>
    <t>धारा 80CCC - पेंशन प्लान हेतु अंशदान (NPS के अतिरिक्त)</t>
  </si>
  <si>
    <t>धारा 80CCD(1B) -नवीन पेंशन योजना में अतिरिक्त अंशदान (अधिकतम 50,000 अधिकतम)</t>
  </si>
  <si>
    <t>धारा 80D - चिकित्सा बीमा प्रीमियम (सामान्य 25,000, वरिष्ठ नागरिक 50,000)</t>
  </si>
  <si>
    <t>धारा 80DD - विकलांग आश्रितों का चिकित्सा उपचार (अधिकतम 75,000,  80%विक्लांगता 1,25,000)</t>
  </si>
  <si>
    <t>धारा 80DDB -विशिष्ठ रोगों के उपचार हेतु कटौती (सामान्य 40,000 एवं वरिष्ठ नागरिक 1 लाख)</t>
  </si>
  <si>
    <t>धारा 80E - उच्च शिक्षा हेतु लिए ऋण पर ब्याज (धारा 80E)</t>
  </si>
  <si>
    <t xml:space="preserve">धारा 80G -धर्मार्थ संस्थाओं को दिए दान (श्रेणी 'क' 100% एवं श्रेणी 'ख' 50%) </t>
  </si>
  <si>
    <t>धारा 80U -स्थाई शारीरिक विक्लांगता  (अधिकतम 75,000,  80%विक्लांगता 1,25,000)</t>
  </si>
  <si>
    <t>धारा 80 GGA -अनुमोदित वैज्ञानिक,सामाजिक,ग्रामीण विकास आदि हेतु दिया गया दान</t>
  </si>
  <si>
    <t>इक्विटी लिंक सेविंग स्कीम</t>
  </si>
  <si>
    <t>स्थिगित वार्षिकी</t>
  </si>
  <si>
    <t>धारा 89 के अंतर्गत राहत</t>
  </si>
  <si>
    <t>गृह सम्पति से प्राप्त किराया-आय</t>
  </si>
  <si>
    <t>अन्य आय (बैंक/एफडी में जमा ब्याज/अन्य ब्याज आदि का योग</t>
  </si>
  <si>
    <t>अन्य आय</t>
  </si>
  <si>
    <t>(-----------------------------------------------------)</t>
  </si>
  <si>
    <t>कर्मचारी का नाम :-</t>
  </si>
  <si>
    <t>पद :-</t>
  </si>
  <si>
    <t>आयकर कटौती का विवरण</t>
  </si>
  <si>
    <t>आय:वर्ष 2022-23 में कुल प्राप्त वेतन (कर योग्य सुविधाओं के मूल्य सहित)</t>
  </si>
  <si>
    <t xml:space="preserve">                                                             शेष (2-3)</t>
  </si>
  <si>
    <t>मनोरंजन भत्ता धारा 16 (ii) के अंतर्गत अधिकतम 5000 रूपये</t>
  </si>
  <si>
    <t>(i)  मनोरंजन भत्ता धारा 16 (ii) के अंतर्गत (अधिकतम 5000 रूपये)</t>
  </si>
  <si>
    <t>(ii)  व्यवसाय कर धारा 16 (iii) के अंतर्गत (अधिकतम 5000 रूपये)</t>
  </si>
  <si>
    <t>(iii) स्टेंडर्ड डिडक्शन (Standard Deduction)-अधिकतम 50,000</t>
  </si>
  <si>
    <t xml:space="preserve">                                                             शेष (4-5)</t>
  </si>
  <si>
    <r>
      <t>गृह किराया धारा 10 (13-A) के अंतर्गत एवं 10(14) के अंतर्गत वेतन भत्ते जो कर मुक्त है l</t>
    </r>
    <r>
      <rPr>
        <sz val="10"/>
        <rFont val="DevLys 010"/>
      </rPr>
      <t/>
    </r>
  </si>
  <si>
    <t xml:space="preserve">(अ) गृह सम्पति से आय (1) स्वयं के उपयोग में शून्य </t>
  </si>
  <si>
    <t xml:space="preserve">(2) प्राप्त किराया </t>
  </si>
  <si>
    <t>(ब) घटाइए</t>
  </si>
  <si>
    <t>किराये का 30%</t>
  </si>
  <si>
    <t>गृह ऋण पर ब्याज</t>
  </si>
  <si>
    <t>योग 7 (ब)</t>
  </si>
  <si>
    <t xml:space="preserve">                                                             कुल शेष -/+ (6 एवं 7)</t>
  </si>
  <si>
    <t xml:space="preserve">                                                     शेष -/+  {7(अ) एवं योग 7(ब)} </t>
  </si>
  <si>
    <t>कुल (बिंदु संख्या -9)</t>
  </si>
  <si>
    <t>सकल आय                                                                                                                                       योग (8+9)</t>
  </si>
  <si>
    <t>घटाइए कटौतियां :- धारा  US 80C, 80CCC,80CCD (1)</t>
  </si>
  <si>
    <t xml:space="preserve">(A) अधिकतम सीमा 1.50 लाख (धारा 80 CCE) के अलावा </t>
  </si>
  <si>
    <t>राज्य बीमा (SI)</t>
  </si>
  <si>
    <t>जीवन बीमा प्रीमियम (LIC)</t>
  </si>
  <si>
    <t>राष्ट्रीय बचत स्कीम  (NSS)</t>
  </si>
  <si>
    <t>सामूहिक दुर्घटना बीमा (GIS)</t>
  </si>
  <si>
    <t>गृह ऋण किश्त(HBA Premium)</t>
  </si>
  <si>
    <t>पेंशन प्लान हेतु अंशदान (धारा 80CCC)</t>
  </si>
  <si>
    <t>सुकन्या समृद्धि योजना में जमा राशि</t>
  </si>
  <si>
    <t>पी.एल.आई. (PLI)</t>
  </si>
  <si>
    <t>स्थिगित वार्षिकी (Defferred Annuty)</t>
  </si>
  <si>
    <t>योग (i से xvii तक)</t>
  </si>
  <si>
    <t xml:space="preserve">                      अधिकतम कटौती की राशि  1.50 लाख रूपये तक</t>
  </si>
  <si>
    <t>(B) घटाइए - धारा 80CCD (1B) नवीन पेंशन योजना में अतिरिक्त अंशदान (अधिकतम रु.50,000)</t>
  </si>
  <si>
    <t>अन्य कटौतियां</t>
  </si>
  <si>
    <r>
      <rPr>
        <b/>
        <sz val="10"/>
        <color rgb="FFFF0000"/>
        <rFont val="Cambria"/>
        <family val="1"/>
        <scheme val="major"/>
      </rPr>
      <t xml:space="preserve">योग 11(A+B+C)  </t>
    </r>
    <r>
      <rPr>
        <b/>
        <sz val="11"/>
        <color rgb="FFFF0000"/>
        <rFont val="Cambria"/>
        <family val="1"/>
        <scheme val="major"/>
      </rPr>
      <t xml:space="preserve">    </t>
    </r>
  </si>
  <si>
    <t>3. धारा 80DDB -विशिष्ठ रोगों के उपचार हेतु कटौती (सामान्य 40,000 एवं वरिष्ठ नागरिक 1 लाख)</t>
  </si>
  <si>
    <t>4. धारा 80E - उच्च शिक्षा हेतु लिए ऋण पर ब्याज (धारा 80E)</t>
  </si>
  <si>
    <t xml:space="preserve">5. धारा 80G -धर्मार्थ संस्थाओं को दिए दान (श्रेणी 'क' 100% एवं श्रेणी 'ख' 50%) </t>
  </si>
  <si>
    <t>2. धारा 80DD - विकलांग आश्रितों का चिकित्सा उपचार (अधिकतम 75,000,  80% या अधिक विक्लांगता 1,25,000)</t>
  </si>
  <si>
    <t>6. धारा 80U -स्थाई शारीरिक विक्लांगता की दशा में (अधिकतम 75,000 तथा अधिनियम 1995 के अनुसार 80% विक्लांगता 1,25,000)</t>
  </si>
  <si>
    <t>7. अधिनियम 1995 के अनुसार धारा 80 TTA के तहत बचत खाते की जमा राशी पर प्राप्त ब्याज में छूट 10000 (80 TTB-वरिष्ठ नागरिक अधिकतम 50,000)</t>
  </si>
  <si>
    <t>8. धारा 80 GGA -अनुमोदित वैज्ञानिक,सामाजिक,ग्रामीण विकास आदि हेतु दिया गया दान</t>
  </si>
  <si>
    <t>कुल योग 12 (1 से 8)</t>
  </si>
  <si>
    <t>कुल कटौती (11 एवं 12)</t>
  </si>
  <si>
    <t>कर योग्य आय (10-13)</t>
  </si>
  <si>
    <t>कुल आय की राशि को सम्पूर्ण करना (दस के गुणक में) धारा 288A</t>
  </si>
  <si>
    <t xml:space="preserve">उपरोक्त बिंदु 15 के आधार पर आयकर की गणना </t>
  </si>
  <si>
    <t>सामान्य करदाता</t>
  </si>
  <si>
    <t>वरिष्ठ नागरिक (आयु 60 से 80 वर्ष)</t>
  </si>
  <si>
    <t>(1) योग आयकर</t>
  </si>
  <si>
    <r>
      <rPr>
        <b/>
        <sz val="10"/>
        <rFont val="Cambria"/>
        <family val="1"/>
        <scheme val="major"/>
      </rPr>
      <t>(2) छूट धारा 87 (A) (2.50 लाख से 5.00 लाख तक की कर योग्य आय पर आयकर की छूट अधिकतम रूपये 12,500 तक)</t>
    </r>
    <r>
      <rPr>
        <sz val="10"/>
        <rFont val="Calibri"/>
        <family val="2"/>
        <scheme val="minor"/>
      </rPr>
      <t/>
    </r>
  </si>
  <si>
    <t>(3) शेष आयकर (1-2)</t>
  </si>
  <si>
    <t>(4) शिक्षा उपकर 2% एवं उच्च शिक्षा के लिए अधिभार 2% (योग 4%)</t>
  </si>
  <si>
    <t>कुल आयकर (3+4)</t>
  </si>
  <si>
    <t>घटाइए :- धारा 89 के अंतर्गत राहत Rule 21A(2)</t>
  </si>
  <si>
    <t>कुल शेष आयकर</t>
  </si>
  <si>
    <t>कुल शेष आयकर की राशि (दस के गुणक में)</t>
  </si>
  <si>
    <t>Itax deducted Till Jun-2022 (First Quarter)</t>
  </si>
  <si>
    <t>Itax deducted  July-22 to Sep.-22      (Second Quarter)</t>
  </si>
  <si>
    <t>Itax deducted Oct-22 to Dec.-22 (Third Quarter)</t>
  </si>
  <si>
    <t>Itax Deducted/Dedctable by Dec.22 Salary</t>
  </si>
  <si>
    <t>Itax Deducted/Dedctable by Jan-23 Salary</t>
  </si>
  <si>
    <t>Itax Deducted/Dedctable by Feb-23 Salary</t>
  </si>
  <si>
    <t xml:space="preserve">Itax Deducted addition to Salary </t>
  </si>
  <si>
    <t>Itax submitted by other means</t>
  </si>
  <si>
    <t xml:space="preserve">बिंदु 19 का योग </t>
  </si>
  <si>
    <t>व्यवसाय कर धारा 16 (ii) के अंतर्गत अधिकतम 5000 रूपये</t>
  </si>
  <si>
    <t>1. धारा 80D - चिकित्सा बीमा प्रीमियम {स्वयं/पति/पत्नी  हेतु 25,000 माता/पिता हेतु 25,000, वरिष्ठ नागरिक 50,000}</t>
  </si>
  <si>
    <t>Employee Status (Regular/ Probation)</t>
  </si>
  <si>
    <t>Employee Personal &amp; Salary Details</t>
  </si>
  <si>
    <t>PAID HRA</t>
  </si>
  <si>
    <t>C</t>
  </si>
  <si>
    <t>A</t>
  </si>
  <si>
    <t>New Tax Regime</t>
  </si>
  <si>
    <t>Old Tax Regime</t>
  </si>
  <si>
    <t>&gt;250000</t>
  </si>
  <si>
    <t>&gt;300000</t>
  </si>
  <si>
    <t>&gt;500000</t>
  </si>
  <si>
    <t>&gt;1000000</t>
  </si>
  <si>
    <t>&gt;1500000</t>
  </si>
  <si>
    <t>NO</t>
  </si>
  <si>
    <t>बचत खाते की जमा राशी पर प्राप्त ब्याज में छूट (80 TTA-10000 अधिकतम/80 TTB-अधिकतम 50000)</t>
  </si>
  <si>
    <t>Comparison of Itax calculation in Old and New Tax Regime</t>
  </si>
  <si>
    <t>Tax Calculate by Old Tax Regime</t>
  </si>
  <si>
    <t>Tax Calculate by New Tax Regime</t>
  </si>
  <si>
    <t>2023-24</t>
  </si>
  <si>
    <t xml:space="preserve">                                                                                               Employee GA-55 (For Itax Calculation)</t>
  </si>
  <si>
    <t xml:space="preserve">नोट :- हालाँकि इस प्रोग्राम को बनाते समय पूर्ण सावधानी के साथ तैयार किया गया है. मानवीय भूल सहज है. यदि किसी भी प्रकार की कोई समस्या, शंका तथा आपत्ति की स्थिति में आप अपने विवेक को प्रमुखता दें. </t>
  </si>
  <si>
    <t>आयकर गणना प्रपत्र देखें</t>
  </si>
  <si>
    <t>Form-16 देखें</t>
  </si>
  <si>
    <t>HRA  Receipt देखें</t>
  </si>
  <si>
    <t>Ummed Tarad</t>
  </si>
  <si>
    <t>Surrender Arrear</t>
  </si>
  <si>
    <t>JDHG09250D</t>
  </si>
  <si>
    <t>F.Y.</t>
  </si>
  <si>
    <t>Basic Pay (March-223)</t>
  </si>
  <si>
    <t>Employee Age
(Less 60=A, Between 60&amp;80=B, Above 80=C)</t>
  </si>
  <si>
    <t>Jan-23 to Mar-23</t>
  </si>
  <si>
    <t xml:space="preserve">DA Paid </t>
  </si>
  <si>
    <t>From Jan-23</t>
  </si>
  <si>
    <t>From Jul-23</t>
  </si>
  <si>
    <t>DA Arear</t>
  </si>
  <si>
    <t>Employee Service Type</t>
  </si>
  <si>
    <t>Subordinate</t>
  </si>
  <si>
    <t>DA (Jan-23 to Mar-23)</t>
  </si>
  <si>
    <t xml:space="preserve">81 वर्ष या अधिक आयु </t>
  </si>
  <si>
    <t>Income Slab</t>
  </si>
  <si>
    <t>&gt;600000</t>
  </si>
  <si>
    <t>&gt;900000</t>
  </si>
  <si>
    <t>&gt;1200000</t>
  </si>
  <si>
    <r>
      <rPr>
        <b/>
        <sz val="8"/>
        <rFont val="Cambria"/>
        <family val="1"/>
        <scheme val="major"/>
      </rPr>
      <t>(2) छूट धारा 87 (A) (पुरानी स्लैब में 5 लाख की कर योग्य आय पर छुट अधिकतम रु. 12500/- व नई स्लैब में 7 लाख की कर योग्य आय पर 25000/- तक राहत)</t>
    </r>
    <r>
      <rPr>
        <sz val="10"/>
        <rFont val="Calibri"/>
        <family val="2"/>
        <scheme val="minor"/>
      </rPr>
      <t/>
    </r>
  </si>
  <si>
    <t>(2) छूट धारा 87 (A) (नई स्लैब में 7 लाख की कर योग्य आय पर 25000/- तक राहत)</t>
  </si>
  <si>
    <t>(GSSS RAIMALWADA, BAPINI-PHALODI)</t>
  </si>
  <si>
    <t>Email Id-ummedtrdedu@gmail.com</t>
  </si>
  <si>
    <t xml:space="preserve">Deducted Income Tax </t>
  </si>
  <si>
    <t>School's Detail</t>
  </si>
  <si>
    <t>GA55 देखें</t>
  </si>
  <si>
    <r>
      <t xml:space="preserve">1- सबसे पहले Basic Data शीट में सफ़ेद सेल्स में कार्मिक से जुड़े विद्यालय,स्वयं कार्मिक तथा वेतन सम्बंधित विवरण फिल करें.
</t>
    </r>
    <r>
      <rPr>
        <b/>
        <sz val="10"/>
        <color rgb="FF002060"/>
        <rFont val="Calibri"/>
        <family val="2"/>
        <scheme val="minor"/>
      </rPr>
      <t>2- Basic Data भरने के पश्चात Exemp.(HRA+Other) &amp; Other income वाली शीट में HRA अतिरिक्त आय, कटौतियां आदि भरें. (हालाँकि नियमानुसार HRA की गणना स्वतः की हुई मिलेगी फिर भी आपसे जुड़े DDO के निर्देशानुसार इसे बदल भी सकते है.)</t>
    </r>
    <r>
      <rPr>
        <b/>
        <sz val="10"/>
        <color rgb="FFC00000"/>
        <rFont val="Calibri"/>
        <family val="2"/>
        <scheme val="minor"/>
      </rPr>
      <t xml:space="preserve">
3- Basic Data एंट्री के साथ ही आपको GA-55 तैयार मिलेगा जो कि पूर्णत: अनलॉक है आप Pay Man./Pri Pay Man. से निकाले ऑनलाइन GA-55 रिपोर्ट से भली भांति मिलान कर आवश्यकतानुसार बदलाव भी कर सकते हैं.
</t>
    </r>
    <r>
      <rPr>
        <b/>
        <sz val="10"/>
        <color rgb="FF002060"/>
        <rFont val="Calibri"/>
        <family val="2"/>
        <scheme val="minor"/>
      </rPr>
      <t>4- उक्त कार्य पूर्ण करने के बाद आपके सामने कार्मिक से जुडी पुरानी तथा नई कर व्यवस्था (Old Tax Regime/New Tax Regime)  के अनुसार आयकर गणना प्रपत्र, फॉर्म-16, HRA से जुडी आवश्यक रिसिप्ट तैयार है, प्रिंट ले सकते हैं.</t>
    </r>
    <r>
      <rPr>
        <b/>
        <sz val="10"/>
        <color rgb="FFC00000"/>
        <rFont val="Calibri"/>
        <family val="2"/>
        <scheme val="minor"/>
      </rPr>
      <t xml:space="preserve">
5- यदि गत वर्षों के बकाया वेतन का इस वर्ष आयकर की कटौती के साथ भुगतान किया गया है, तो आप आवश्यक फॉर्म-10E भी 10 E Us 89(1) शीट में तैयार कर धारा 89(1) के तहत प्राप्य छूट को आयकर गणना प्रपत्र, फॉर्म-16 में अंकित कर सकते हो.
</t>
    </r>
    <r>
      <rPr>
        <b/>
        <sz val="10"/>
        <color rgb="FF002060"/>
        <rFont val="Calibri"/>
        <family val="2"/>
        <scheme val="minor"/>
      </rPr>
      <t>6- अंतिम 2 शीट्स HRA Calculator द्वारा कोई कार्मिक अपने HRA में राहत तथा आवश्यक रेसिप्ट की जानकारी प्राप्त कर सकता है एवं शीट Itax Calculate For All Employee द्वारा किसी DDO द्वारा अपने कार्यालय में पदस्थापित सम्पूर्ण कार्मिकों के एक साथ Itax की गणना कर आगामी अंतिम तीन माह दिसम्बर-23, जनवरी-24 तथा फरवरी-24 माह में काटे जाने वाले Itax की गणना कर समेकित ब्यौरा तैयार कर सकते है.</t>
    </r>
  </si>
  <si>
    <r>
      <rPr>
        <b/>
        <sz val="36"/>
        <color theme="1"/>
        <rFont val="Aldine721 BT"/>
        <family val="1"/>
      </rPr>
      <t>FOR HELP CLICK HERE</t>
    </r>
    <r>
      <rPr>
        <b/>
        <sz val="36"/>
        <color theme="1"/>
        <rFont val="Times New Roman"/>
        <family val="1"/>
      </rPr>
      <t>→</t>
    </r>
    <r>
      <rPr>
        <b/>
        <sz val="14"/>
        <color theme="1"/>
        <rFont val="Aldine721 BT"/>
        <family val="1"/>
      </rPr>
      <t xml:space="preserve">
(PLEASE SUBSCRIBE MY YOUTUBE CHANNEL)</t>
    </r>
  </si>
  <si>
    <t xml:space="preserve"> </t>
  </si>
  <si>
    <t>Click Here For Help Video</t>
  </si>
  <si>
    <t>Itax deducted Till Jun-23 (First Quarter)</t>
  </si>
  <si>
    <t>Itax deducted  July-23 to Sep-23
 (Second Quarter)</t>
  </si>
  <si>
    <t>Itax deducted Oct-23 to Dec-23
(Third Quarter)</t>
  </si>
  <si>
    <t>Itax Deducted/Dedctable by Dec-23 Salary</t>
  </si>
  <si>
    <t>Itax Deducted/Dedctable by Jan-24 Salary</t>
  </si>
  <si>
    <t>Itax Deducted/Dedctable by Feb-24 Salary</t>
  </si>
  <si>
    <t>Jul-23 to Oct-23</t>
  </si>
  <si>
    <t>&gt;5000000</t>
  </si>
  <si>
    <t>Surcharge</t>
  </si>
  <si>
    <t>&gt;10000000</t>
  </si>
  <si>
    <t>(3) छूट धारा 115 BAC  (Marginal Relief) (नई स्लैब में कर योग्य आय कर से न्यून होने की स्थिति में)</t>
  </si>
  <si>
    <r>
      <t xml:space="preserve">(2) छूट धारा 87 (A) (नई स्लैब में 7 लाख की कर योग्य आय पर 25000/- तक राहत) 
        Or </t>
    </r>
    <r>
      <rPr>
        <b/>
        <sz val="9"/>
        <rFont val="Cambria"/>
        <family val="1"/>
        <scheme val="major"/>
      </rPr>
      <t>115 BAC  (Marginal Relief) (नई स्लैब में कर योग्य आय कर से न्यून होने की स्थिति में)</t>
    </r>
  </si>
  <si>
    <r>
      <t xml:space="preserve">(3) शेष आयकर (1-2) </t>
    </r>
    <r>
      <rPr>
        <b/>
        <sz val="10"/>
        <color rgb="FFFF0000"/>
        <rFont val="Cambria"/>
        <family val="1"/>
        <scheme val="major"/>
      </rPr>
      <t>{87 (A)  के तहत राहत अथवा Marginal Relief  के पश्चात}</t>
    </r>
  </si>
  <si>
    <t>(5) अधिभार (Surcharge) को मिलाकर आयकर (3+4)</t>
  </si>
  <si>
    <t>(6) शिक्षा उपकर 2% एवं उच्च शिक्षा के लिए अधिभार 2% (योग 4%)</t>
  </si>
  <si>
    <t>कुल आयकर (5+6)</t>
  </si>
  <si>
    <t>DA (Jul-23 to  Oct-23)</t>
  </si>
  <si>
    <t>(A.Y. 2024-25)</t>
  </si>
  <si>
    <r>
      <rPr>
        <b/>
        <sz val="10"/>
        <color theme="1"/>
        <rFont val="Cambria"/>
        <family val="1"/>
        <scheme val="major"/>
      </rPr>
      <t xml:space="preserve">(4) अधिभार (Surcharge) </t>
    </r>
    <r>
      <rPr>
        <b/>
        <sz val="9"/>
        <color theme="1"/>
        <rFont val="Cambria"/>
        <family val="1"/>
        <scheme val="major"/>
      </rPr>
      <t xml:space="preserve"> </t>
    </r>
    <r>
      <rPr>
        <b/>
        <sz val="6"/>
        <color rgb="FFFF0000"/>
        <rFont val="Cambria"/>
        <family val="1"/>
        <scheme val="major"/>
      </rPr>
      <t>{50 लाख 1 रु.से 1 करोड़ तक आय के कर पर 10%,1 करोड़ 1 रु.से 2 करोड़ तक आय के कर पर 15% तथा 2 करोड़ से ऊपरी आय के कर पर 25% }</t>
    </r>
  </si>
  <si>
    <r>
      <t xml:space="preserve">Income Tax Refundable/Payble
</t>
    </r>
    <r>
      <rPr>
        <b/>
        <sz val="6"/>
        <rFont val="Cambria"/>
        <family val="1"/>
        <scheme val="major"/>
      </rPr>
      <t xml:space="preserve">Here Refundable figure Show Positive &amp; Green Color and Payble figure Show Negative &amp; Red Colour </t>
    </r>
  </si>
  <si>
    <t>1. An employer's contribution to the NPS up to 10% (14% of Govt. employees) of an employer's basic pay plus DA is allowed 
                                                                                                                                                                                                      as U/s 80 CCD(2)</t>
  </si>
  <si>
    <t>2. Any amount paid or deposited to the Agniveer Corpus Fund under the newly proposed 
                                                                                                                                                                                                      as U/s 80 CCH</t>
  </si>
  <si>
    <t>Updated On 10-12-2023</t>
  </si>
  <si>
    <r>
      <rPr>
        <b/>
        <sz val="10"/>
        <color theme="1"/>
        <rFont val="Cambria"/>
        <family val="1"/>
        <scheme val="major"/>
      </rPr>
      <t xml:space="preserve">(4) अधिभार (Surcharge) 
                     </t>
    </r>
    <r>
      <rPr>
        <b/>
        <sz val="6"/>
        <color rgb="FFFF0000"/>
        <rFont val="Cambria"/>
        <family val="1"/>
        <scheme val="major"/>
      </rPr>
      <t>{50 लाख 1 रु.से 1 करोड़ तक आय के कर पर 10%,1 करोड़ 1 रु.से 2 करोड़ तक आय के कर पर 15%,2करोड़ 1 रु.से 5 करोड़ तक आय के कर पर 25%,5 करोड़ से ऊपरी आय के कर पर 37% }</t>
    </r>
  </si>
  <si>
    <r>
      <t xml:space="preserve">Income Tax Refundable/Payble
</t>
    </r>
    <r>
      <rPr>
        <b/>
        <sz val="5"/>
        <rFont val="Cambria"/>
        <family val="1"/>
        <scheme val="major"/>
      </rPr>
      <t xml:space="preserve">Here Refundable figure Show Positive &amp; Green Color and Payble figure Show Negative &amp; Red Colour </t>
    </r>
  </si>
  <si>
    <t xml:space="preserve">कुल योग 12 </t>
  </si>
</sst>
</file>

<file path=xl/styles.xml><?xml version="1.0" encoding="utf-8"?>
<styleSheet xmlns="http://schemas.openxmlformats.org/spreadsheetml/2006/main">
  <numFmts count="7">
    <numFmt numFmtId="6" formatCode="&quot;₹&quot;\ #,##0;[Red]&quot;₹&quot;\ \-#,##0"/>
    <numFmt numFmtId="164" formatCode="[$-14009]dd/mm/yy;@"/>
    <numFmt numFmtId="165" formatCode="[$-14009]dd/mm/yyyy;@"/>
    <numFmt numFmtId="166" formatCode="&quot;L-&quot;#"/>
    <numFmt numFmtId="167" formatCode="&quot;₹&quot;\ #,##0.00;[Red]&quot;₹&quot;\ #,##0.00"/>
    <numFmt numFmtId="168" formatCode="&quot;₹&quot;\ #,##0.00"/>
    <numFmt numFmtId="169" formatCode="[$-4009]dd\ mmmm\ yyyy"/>
  </numFmts>
  <fonts count="120">
    <font>
      <sz val="11"/>
      <color theme="1"/>
      <name val="Calibri"/>
      <family val="2"/>
      <scheme val="minor"/>
    </font>
    <font>
      <b/>
      <sz val="14"/>
      <color rgb="FF002060"/>
      <name val="Calibri"/>
      <family val="2"/>
      <scheme val="minor"/>
    </font>
    <font>
      <b/>
      <sz val="16"/>
      <color rgb="FF002060"/>
      <name val="Calibri"/>
      <family val="2"/>
      <scheme val="minor"/>
    </font>
    <font>
      <b/>
      <sz val="16"/>
      <color rgb="FF002060"/>
      <name val="Aldine721 BT"/>
      <family val="1"/>
    </font>
    <font>
      <sz val="11"/>
      <color rgb="FF002060"/>
      <name val="Cambria"/>
      <family val="1"/>
      <scheme val="major"/>
    </font>
    <font>
      <sz val="11"/>
      <color theme="1"/>
      <name val="Cambria"/>
      <family val="1"/>
      <scheme val="major"/>
    </font>
    <font>
      <b/>
      <sz val="11"/>
      <color theme="1"/>
      <name val="Cambria"/>
      <family val="1"/>
      <scheme val="major"/>
    </font>
    <font>
      <b/>
      <sz val="10"/>
      <color theme="1"/>
      <name val="Cambria"/>
      <family val="1"/>
      <scheme val="major"/>
    </font>
    <font>
      <b/>
      <sz val="16"/>
      <color theme="1"/>
      <name val="Cambria"/>
      <family val="1"/>
      <scheme val="major"/>
    </font>
    <font>
      <b/>
      <sz val="14"/>
      <color rgb="FF002060"/>
      <name val="Cambria"/>
      <family val="1"/>
      <scheme val="major"/>
    </font>
    <font>
      <sz val="12"/>
      <color rgb="FF002060"/>
      <name val="Cambria"/>
      <family val="1"/>
      <scheme val="major"/>
    </font>
    <font>
      <b/>
      <sz val="12"/>
      <color rgb="FF002060"/>
      <name val="Cambria"/>
      <family val="1"/>
      <scheme val="major"/>
    </font>
    <font>
      <b/>
      <sz val="22"/>
      <color theme="1"/>
      <name val="Cambria"/>
      <family val="1"/>
      <scheme val="major"/>
    </font>
    <font>
      <b/>
      <sz val="18"/>
      <color rgb="FF002060"/>
      <name val="Aldine721 BT"/>
      <family val="1"/>
    </font>
    <font>
      <b/>
      <sz val="16"/>
      <color rgb="FF002060"/>
      <name val="Cambria"/>
      <family val="1"/>
      <scheme val="major"/>
    </font>
    <font>
      <b/>
      <sz val="12"/>
      <color theme="1"/>
      <name val="Calibri"/>
      <family val="2"/>
      <scheme val="minor"/>
    </font>
    <font>
      <b/>
      <sz val="11"/>
      <color rgb="FF002060"/>
      <name val="Cambria"/>
      <family val="1"/>
      <scheme val="major"/>
    </font>
    <font>
      <b/>
      <sz val="10"/>
      <color rgb="FF002060"/>
      <name val="Cambria"/>
      <family val="1"/>
      <scheme val="major"/>
    </font>
    <font>
      <sz val="18"/>
      <color rgb="FF002060"/>
      <name val="Caslon Bd BT"/>
      <family val="1"/>
    </font>
    <font>
      <b/>
      <sz val="12"/>
      <color theme="1"/>
      <name val="Cambria"/>
      <family val="1"/>
      <scheme val="major"/>
    </font>
    <font>
      <b/>
      <sz val="14"/>
      <color theme="1"/>
      <name val="Cambria"/>
      <family val="1"/>
      <scheme val="major"/>
    </font>
    <font>
      <sz val="14"/>
      <color theme="1"/>
      <name val="Cambria"/>
      <family val="1"/>
      <scheme val="major"/>
    </font>
    <font>
      <b/>
      <sz val="9"/>
      <color theme="1"/>
      <name val="Cambria"/>
      <family val="1"/>
      <scheme val="major"/>
    </font>
    <font>
      <b/>
      <i/>
      <sz val="24"/>
      <color theme="0"/>
      <name val="Aldine721 BT"/>
      <family val="1"/>
    </font>
    <font>
      <b/>
      <i/>
      <sz val="20"/>
      <color theme="0"/>
      <name val="Aldine721 BT"/>
      <family val="1"/>
    </font>
    <font>
      <b/>
      <sz val="18"/>
      <color theme="1"/>
      <name val="Cambria"/>
      <family val="1"/>
      <scheme val="major"/>
    </font>
    <font>
      <sz val="16"/>
      <color theme="1"/>
      <name val="Cambria"/>
      <family val="1"/>
      <scheme val="major"/>
    </font>
    <font>
      <b/>
      <sz val="11"/>
      <color theme="1"/>
      <name val="Calibri"/>
      <family val="2"/>
      <scheme val="minor"/>
    </font>
    <font>
      <b/>
      <sz val="11"/>
      <color rgb="FFFF0000"/>
      <name val="Cambria"/>
      <family val="1"/>
      <scheme val="major"/>
    </font>
    <font>
      <b/>
      <sz val="22"/>
      <color rgb="FFC00000"/>
      <name val="Cambria"/>
      <family val="1"/>
      <scheme val="major"/>
    </font>
    <font>
      <b/>
      <sz val="14"/>
      <color rgb="FFFF0000"/>
      <name val="Cambria"/>
      <family val="1"/>
      <scheme val="major"/>
    </font>
    <font>
      <b/>
      <sz val="22"/>
      <color rgb="FFFFFF00"/>
      <name val="AlgerianBasD"/>
      <family val="5"/>
    </font>
    <font>
      <b/>
      <sz val="20"/>
      <color rgb="FFFFFF00"/>
      <name val="AlgerianBasD"/>
      <family val="5"/>
    </font>
    <font>
      <b/>
      <sz val="8"/>
      <color theme="1"/>
      <name val="Cambria"/>
      <family val="1"/>
      <scheme val="major"/>
    </font>
    <font>
      <sz val="16"/>
      <color rgb="FF002060"/>
      <name val="Calibri"/>
      <family val="2"/>
      <scheme val="minor"/>
    </font>
    <font>
      <sz val="14"/>
      <color theme="1"/>
      <name val="Calibri"/>
      <family val="2"/>
      <scheme val="minor"/>
    </font>
    <font>
      <b/>
      <sz val="14"/>
      <color rgb="FFC00000"/>
      <name val="Cambria"/>
      <family val="1"/>
      <scheme val="major"/>
    </font>
    <font>
      <sz val="11"/>
      <name val="Kruti Dev 010"/>
    </font>
    <font>
      <sz val="10"/>
      <name val="Calibri"/>
      <family val="2"/>
      <scheme val="minor"/>
    </font>
    <font>
      <sz val="10"/>
      <name val="Cambria"/>
      <family val="1"/>
      <scheme val="major"/>
    </font>
    <font>
      <b/>
      <sz val="24"/>
      <color theme="1"/>
      <name val="Cambria"/>
      <family val="1"/>
      <scheme val="major"/>
    </font>
    <font>
      <b/>
      <sz val="12"/>
      <color rgb="FFC00000"/>
      <name val="Cambria"/>
      <family val="1"/>
      <scheme val="major"/>
    </font>
    <font>
      <sz val="14"/>
      <color rgb="FFC00000"/>
      <name val="Cambria"/>
      <family val="1"/>
      <scheme val="major"/>
    </font>
    <font>
      <sz val="10"/>
      <name val="Arial"/>
      <family val="2"/>
    </font>
    <font>
      <sz val="10"/>
      <name val="DevLys 010"/>
    </font>
    <font>
      <sz val="10"/>
      <color rgb="FF002060"/>
      <name val="Cambria"/>
      <family val="1"/>
      <scheme val="major"/>
    </font>
    <font>
      <sz val="10"/>
      <color theme="1"/>
      <name val="Cambria"/>
      <family val="1"/>
      <scheme val="major"/>
    </font>
    <font>
      <sz val="10"/>
      <color theme="1"/>
      <name val="Calibri"/>
      <family val="2"/>
      <scheme val="minor"/>
    </font>
    <font>
      <sz val="12"/>
      <color theme="1"/>
      <name val="Cambria"/>
      <family val="1"/>
      <scheme val="major"/>
    </font>
    <font>
      <sz val="9"/>
      <color theme="1"/>
      <name val="Cambria"/>
      <family val="1"/>
      <scheme val="major"/>
    </font>
    <font>
      <b/>
      <sz val="12"/>
      <color rgb="FF002060"/>
      <name val="Calibri"/>
      <family val="2"/>
      <scheme val="minor"/>
    </font>
    <font>
      <sz val="12"/>
      <name val="Cambria"/>
      <family val="1"/>
      <scheme val="major"/>
    </font>
    <font>
      <sz val="11"/>
      <name val="Cambria"/>
      <family val="1"/>
      <scheme val="major"/>
    </font>
    <font>
      <b/>
      <sz val="10"/>
      <color rgb="FFFF0000"/>
      <name val="Cambria"/>
      <family val="1"/>
      <scheme val="major"/>
    </font>
    <font>
      <sz val="11"/>
      <color rgb="FFFF0000"/>
      <name val="Cambria"/>
      <family val="1"/>
      <scheme val="major"/>
    </font>
    <font>
      <sz val="14"/>
      <color rgb="FF002060"/>
      <name val="Cambria"/>
      <family val="1"/>
      <scheme val="major"/>
    </font>
    <font>
      <sz val="9"/>
      <name val="Cambria"/>
      <family val="1"/>
      <scheme val="major"/>
    </font>
    <font>
      <b/>
      <sz val="9"/>
      <color rgb="FF002060"/>
      <name val="Cambria"/>
      <family val="1"/>
      <scheme val="major"/>
    </font>
    <font>
      <b/>
      <sz val="12"/>
      <name val="Cambria"/>
      <family val="1"/>
      <scheme val="major"/>
    </font>
    <font>
      <b/>
      <sz val="11"/>
      <name val="Cambria"/>
      <family val="1"/>
      <scheme val="major"/>
    </font>
    <font>
      <b/>
      <sz val="10"/>
      <name val="Cambria"/>
      <family val="1"/>
      <scheme val="major"/>
    </font>
    <font>
      <b/>
      <sz val="10"/>
      <color rgb="FFC00000"/>
      <name val="Cambria"/>
      <family val="1"/>
      <scheme val="major"/>
    </font>
    <font>
      <b/>
      <sz val="8"/>
      <name val="Cambria"/>
      <family val="1"/>
      <scheme val="major"/>
    </font>
    <font>
      <b/>
      <sz val="9"/>
      <name val="Cambria"/>
      <family val="1"/>
      <scheme val="major"/>
    </font>
    <font>
      <b/>
      <sz val="16"/>
      <name val="Cambria"/>
      <family val="1"/>
      <scheme val="major"/>
    </font>
    <font>
      <b/>
      <i/>
      <sz val="16"/>
      <name val="Cambria"/>
      <family val="1"/>
      <scheme val="major"/>
    </font>
    <font>
      <b/>
      <i/>
      <sz val="9"/>
      <name val="Cambria"/>
      <family val="1"/>
      <scheme val="major"/>
    </font>
    <font>
      <b/>
      <sz val="9"/>
      <color rgb="FFFF0000"/>
      <name val="Cambria"/>
      <family val="1"/>
      <scheme val="major"/>
    </font>
    <font>
      <i/>
      <sz val="9"/>
      <name val="Cambria"/>
      <family val="1"/>
      <scheme val="major"/>
    </font>
    <font>
      <b/>
      <i/>
      <sz val="16"/>
      <color theme="0"/>
      <name val="Aldine721 BT"/>
      <family val="1"/>
    </font>
    <font>
      <b/>
      <i/>
      <sz val="14"/>
      <color rgb="FFFF0000"/>
      <name val="Cambria"/>
      <family val="1"/>
      <scheme val="major"/>
    </font>
    <font>
      <sz val="8"/>
      <name val="Cambria"/>
      <family val="1"/>
      <scheme val="major"/>
    </font>
    <font>
      <sz val="8"/>
      <name val="Kruti Dev 010"/>
    </font>
    <font>
      <sz val="18"/>
      <color theme="1"/>
      <name val="Cambria"/>
      <family val="1"/>
      <scheme val="major"/>
    </font>
    <font>
      <b/>
      <sz val="18"/>
      <color rgb="FF002060"/>
      <name val="Cambria"/>
      <family val="1"/>
      <scheme val="major"/>
    </font>
    <font>
      <b/>
      <sz val="20"/>
      <color theme="1"/>
      <name val="Cambria"/>
      <family val="1"/>
      <scheme val="major"/>
    </font>
    <font>
      <b/>
      <sz val="22"/>
      <color theme="0"/>
      <name val="Americana XBd BT"/>
      <family val="1"/>
    </font>
    <font>
      <sz val="18"/>
      <color rgb="FF006600"/>
      <name val="Calibri"/>
      <family val="2"/>
      <scheme val="minor"/>
    </font>
    <font>
      <u/>
      <sz val="11"/>
      <color theme="10"/>
      <name val="Calibri"/>
      <family val="2"/>
    </font>
    <font>
      <b/>
      <sz val="18"/>
      <color theme="0"/>
      <name val="Calibri"/>
      <family val="2"/>
    </font>
    <font>
      <sz val="24"/>
      <color theme="0"/>
      <name val="Cambria"/>
      <family val="1"/>
      <scheme val="major"/>
    </font>
    <font>
      <b/>
      <sz val="20"/>
      <color theme="0"/>
      <name val="Calibri"/>
      <family val="2"/>
    </font>
    <font>
      <b/>
      <sz val="14"/>
      <color indexed="81"/>
      <name val="Tahoma"/>
      <family val="2"/>
    </font>
    <font>
      <sz val="11"/>
      <color indexed="81"/>
      <name val="Tahoma"/>
      <family val="2"/>
    </font>
    <font>
      <b/>
      <sz val="11"/>
      <color indexed="81"/>
      <name val="Tahoma"/>
      <family val="2"/>
    </font>
    <font>
      <b/>
      <sz val="12"/>
      <color indexed="81"/>
      <name val="Tahoma"/>
      <family val="2"/>
    </font>
    <font>
      <b/>
      <sz val="10"/>
      <color indexed="81"/>
      <name val="Tahoma"/>
      <family val="2"/>
    </font>
    <font>
      <b/>
      <sz val="22"/>
      <color theme="0"/>
      <name val="AlgerianD"/>
      <family val="5"/>
    </font>
    <font>
      <b/>
      <sz val="9"/>
      <color rgb="FFFFFF00"/>
      <name val="Cambria"/>
      <family val="1"/>
      <scheme val="major"/>
    </font>
    <font>
      <b/>
      <sz val="36"/>
      <color theme="1"/>
      <name val="Aldine721 BT"/>
      <family val="1"/>
    </font>
    <font>
      <b/>
      <sz val="36"/>
      <color theme="1"/>
      <name val="Times New Roman"/>
      <family val="1"/>
    </font>
    <font>
      <b/>
      <sz val="22"/>
      <color theme="0"/>
      <name val="Calibri"/>
      <family val="2"/>
    </font>
    <font>
      <b/>
      <sz val="12"/>
      <color rgb="FFFFFF00"/>
      <name val="Cambria"/>
      <family val="1"/>
      <scheme val="major"/>
    </font>
    <font>
      <sz val="18"/>
      <color theme="1"/>
      <name val="Calibri"/>
      <family val="2"/>
      <scheme val="minor"/>
    </font>
    <font>
      <b/>
      <sz val="10"/>
      <color rgb="FFC00000"/>
      <name val="Calibri"/>
      <family val="2"/>
      <scheme val="minor"/>
    </font>
    <font>
      <b/>
      <sz val="10"/>
      <color rgb="FF002060"/>
      <name val="Calibri"/>
      <family val="2"/>
      <scheme val="minor"/>
    </font>
    <font>
      <b/>
      <sz val="14"/>
      <color theme="1"/>
      <name val="Aldine721 BT"/>
      <family val="1"/>
    </font>
    <font>
      <b/>
      <sz val="10"/>
      <color theme="0"/>
      <name val="Calibri"/>
      <family val="2"/>
      <scheme val="minor"/>
    </font>
    <font>
      <b/>
      <sz val="18"/>
      <color theme="0"/>
      <name val="Calibri"/>
      <family val="2"/>
      <scheme val="minor"/>
    </font>
    <font>
      <b/>
      <sz val="28"/>
      <color theme="0"/>
      <name val="BookmanITC Lt BT"/>
      <family val="1"/>
    </font>
    <font>
      <b/>
      <sz val="7"/>
      <name val="Cambria"/>
      <family val="1"/>
      <scheme val="major"/>
    </font>
    <font>
      <b/>
      <sz val="16"/>
      <color theme="0"/>
      <name val="Cambria"/>
      <family val="1"/>
      <scheme val="major"/>
    </font>
    <font>
      <b/>
      <sz val="20"/>
      <color theme="0"/>
      <name val="Americana XBd BT"/>
      <family val="1"/>
    </font>
    <font>
      <sz val="10"/>
      <color theme="0"/>
      <name val="Cambria"/>
      <family val="1"/>
      <scheme val="major"/>
    </font>
    <font>
      <b/>
      <sz val="10"/>
      <color theme="0"/>
      <name val="Cambria"/>
      <family val="1"/>
      <scheme val="major"/>
    </font>
    <font>
      <sz val="11"/>
      <color theme="0"/>
      <name val="Cambria"/>
      <family val="1"/>
      <scheme val="major"/>
    </font>
    <font>
      <b/>
      <sz val="6"/>
      <color rgb="FFFF0000"/>
      <name val="Cambria"/>
      <family val="1"/>
      <scheme val="major"/>
    </font>
    <font>
      <b/>
      <sz val="6"/>
      <name val="Cambria"/>
      <family val="1"/>
      <scheme val="major"/>
    </font>
    <font>
      <b/>
      <sz val="5"/>
      <name val="Cambria"/>
      <family val="1"/>
      <scheme val="major"/>
    </font>
    <font>
      <sz val="10"/>
      <color theme="0" tint="-0.249977111117893"/>
      <name val="Cambria"/>
      <family val="1"/>
      <scheme val="major"/>
    </font>
    <font>
      <sz val="11"/>
      <color theme="0" tint="-0.249977111117893"/>
      <name val="Cambria"/>
      <family val="1"/>
      <scheme val="major"/>
    </font>
    <font>
      <sz val="12"/>
      <color theme="0" tint="-0.34998626667073579"/>
      <name val="Cambria"/>
      <family val="1"/>
      <scheme val="major"/>
    </font>
    <font>
      <sz val="10"/>
      <color theme="0" tint="-0.34998626667073579"/>
      <name val="Cambria"/>
      <family val="1"/>
      <scheme val="major"/>
    </font>
    <font>
      <sz val="11"/>
      <color theme="0" tint="-0.34998626667073579"/>
      <name val="Cambria"/>
      <family val="1"/>
      <scheme val="major"/>
    </font>
    <font>
      <sz val="9"/>
      <color theme="0" tint="-0.34998626667073579"/>
      <name val="Cambria"/>
      <family val="1"/>
      <scheme val="major"/>
    </font>
    <font>
      <b/>
      <sz val="10"/>
      <color theme="0" tint="-0.34998626667073579"/>
      <name val="Cambria"/>
      <family val="1"/>
      <scheme val="major"/>
    </font>
    <font>
      <b/>
      <sz val="9"/>
      <color theme="0" tint="-0.34998626667073579"/>
      <name val="Cambria"/>
      <family val="1"/>
      <scheme val="major"/>
    </font>
    <font>
      <i/>
      <sz val="9"/>
      <color theme="0" tint="-0.34998626667073579"/>
      <name val="Cambria"/>
      <family val="1"/>
      <scheme val="major"/>
    </font>
    <font>
      <b/>
      <i/>
      <sz val="9"/>
      <color theme="0" tint="-0.34998626667073579"/>
      <name val="Cambria"/>
      <family val="1"/>
      <scheme val="major"/>
    </font>
    <font>
      <b/>
      <sz val="11"/>
      <color theme="0" tint="-0.34998626667073579"/>
      <name val="Cambria"/>
      <family val="1"/>
      <scheme val="major"/>
    </font>
  </fonts>
  <fills count="32">
    <fill>
      <patternFill patternType="none"/>
    </fill>
    <fill>
      <patternFill patternType="gray125"/>
    </fill>
    <fill>
      <patternFill patternType="solid">
        <fgColor theme="3" tint="0.59999389629810485"/>
        <bgColor indexed="64"/>
      </patternFill>
    </fill>
    <fill>
      <patternFill patternType="solid">
        <fgColor theme="1"/>
        <bgColor indexed="64"/>
      </patternFill>
    </fill>
    <fill>
      <patternFill patternType="solid">
        <fgColor theme="0"/>
        <bgColor indexed="64"/>
      </patternFill>
    </fill>
    <fill>
      <patternFill patternType="solid">
        <fgColor rgb="FF002060"/>
        <bgColor indexed="64"/>
      </patternFill>
    </fill>
    <fill>
      <gradientFill degree="90">
        <stop position="0">
          <color theme="9" tint="-0.25098422193060094"/>
        </stop>
        <stop position="1">
          <color theme="9" tint="0.59999389629810485"/>
        </stop>
      </gradientFill>
    </fill>
    <fill>
      <gradientFill degree="90">
        <stop position="0">
          <color theme="0" tint="-0.25098422193060094"/>
        </stop>
        <stop position="1">
          <color theme="0"/>
        </stop>
      </gradientFill>
    </fill>
    <fill>
      <gradientFill degree="90">
        <stop position="0">
          <color rgb="FF00B050"/>
        </stop>
        <stop position="1">
          <color rgb="FF00B0F0"/>
        </stop>
      </gradientFill>
    </fill>
    <fill>
      <gradientFill degree="90">
        <stop position="0">
          <color theme="0" tint="-5.0965910824915313E-2"/>
        </stop>
        <stop position="1">
          <color theme="0"/>
        </stop>
      </gradientFill>
    </fill>
    <fill>
      <patternFill patternType="solid">
        <fgColor rgb="FFFFFF00"/>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0"/>
        <bgColor auto="1"/>
      </patternFill>
    </fill>
    <fill>
      <patternFill patternType="solid">
        <fgColor indexed="9"/>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002060"/>
        <bgColor auto="1"/>
      </patternFill>
    </fill>
    <fill>
      <gradientFill type="path" left="0.5" right="0.5" top="0.5" bottom="0.5">
        <stop position="0">
          <color rgb="FF002060"/>
        </stop>
        <stop position="1">
          <color theme="1"/>
        </stop>
      </gradientFill>
    </fill>
    <fill>
      <patternFill patternType="solid">
        <fgColor rgb="FF00B0F0"/>
        <bgColor indexed="64"/>
      </patternFill>
    </fill>
    <fill>
      <gradientFill degree="90">
        <stop position="0">
          <color theme="9" tint="0.40000610370189521"/>
        </stop>
        <stop position="1">
          <color theme="0" tint="-0.1490218817712943"/>
        </stop>
      </gradientFill>
    </fill>
    <fill>
      <gradientFill degree="90">
        <stop position="0">
          <color rgb="FFC00000"/>
        </stop>
        <stop position="1">
          <color theme="1"/>
        </stop>
      </gradientFill>
    </fill>
    <fill>
      <gradientFill type="path" left="0.5" right="0.5" top="0.5" bottom="0.5">
        <stop position="0">
          <color theme="1"/>
        </stop>
        <stop position="1">
          <color rgb="FF002060"/>
        </stop>
      </gradientFill>
    </fill>
    <fill>
      <gradientFill type="path" left="0.5" right="0.5" top="0.5" bottom="0.5">
        <stop position="0">
          <color theme="5" tint="-0.25098422193060094"/>
        </stop>
        <stop position="1">
          <color theme="1"/>
        </stop>
      </gradientFill>
    </fill>
    <fill>
      <gradientFill type="path" left="0.5" right="0.5" top="0.5" bottom="0.5">
        <stop position="0">
          <color theme="0"/>
        </stop>
        <stop position="1">
          <color rgb="FFFF0000"/>
        </stop>
      </gradientFill>
    </fill>
    <fill>
      <patternFill patternType="solid">
        <fgColor rgb="FF0070C0"/>
        <bgColor indexed="64"/>
      </patternFill>
    </fill>
    <fill>
      <gradientFill type="path" left="0.5" right="0.5" top="0.5" bottom="0.5">
        <stop position="0">
          <color rgb="FFFF0000"/>
        </stop>
        <stop position="1">
          <color theme="1"/>
        </stop>
      </gradientFill>
    </fill>
    <fill>
      <patternFill patternType="solid">
        <fgColor theme="0" tint="-0.249977111117893"/>
        <bgColor auto="1"/>
      </patternFill>
    </fill>
    <fill>
      <patternFill patternType="solid">
        <fgColor theme="9" tint="0.59999389629810485"/>
        <bgColor auto="1"/>
      </patternFill>
    </fill>
    <fill>
      <patternFill patternType="solid">
        <fgColor theme="9" tint="0.39997558519241921"/>
        <bgColor auto="1"/>
      </patternFill>
    </fill>
    <fill>
      <patternFill patternType="solid">
        <fgColor rgb="FF7030A0"/>
        <bgColor auto="1"/>
      </patternFill>
    </fill>
    <fill>
      <patternFill patternType="solid">
        <fgColor theme="1" tint="4.9989318521683403E-2"/>
        <bgColor auto="1"/>
      </patternFill>
    </fill>
  </fills>
  <borders count="148">
    <border>
      <left/>
      <right/>
      <top/>
      <bottom/>
      <diagonal/>
    </border>
    <border>
      <left style="thin">
        <color rgb="FFFF0000"/>
      </left>
      <right style="thin">
        <color rgb="FFFF0000"/>
      </right>
      <top style="thin">
        <color rgb="FFFF0000"/>
      </top>
      <bottom style="thin">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rgb="FFFF0000"/>
      </left>
      <right style="thin">
        <color rgb="FFFF0000"/>
      </right>
      <top/>
      <bottom style="thin">
        <color rgb="FFFF0000"/>
      </bottom>
      <diagonal/>
    </border>
    <border>
      <left style="medium">
        <color rgb="FFFF0000"/>
      </left>
      <right style="thin">
        <color rgb="FFFF0000"/>
      </right>
      <top style="medium">
        <color rgb="FFFF0000"/>
      </top>
      <bottom style="medium">
        <color rgb="FFFF0000"/>
      </bottom>
      <diagonal/>
    </border>
    <border>
      <left style="thin">
        <color rgb="FFFF0000"/>
      </left>
      <right style="thin">
        <color rgb="FFFF0000"/>
      </right>
      <top style="medium">
        <color rgb="FFFF0000"/>
      </top>
      <bottom style="medium">
        <color rgb="FFFF0000"/>
      </bottom>
      <diagonal/>
    </border>
    <border>
      <left style="thin">
        <color rgb="FFFF0000"/>
      </left>
      <right style="medium">
        <color rgb="FFFF0000"/>
      </right>
      <top style="medium">
        <color rgb="FFFF0000"/>
      </top>
      <bottom style="medium">
        <color rgb="FFFF0000"/>
      </bottom>
      <diagonal/>
    </border>
    <border>
      <left/>
      <right/>
      <top style="medium">
        <color rgb="FFFF0000"/>
      </top>
      <bottom/>
      <diagonal/>
    </border>
    <border>
      <left style="medium">
        <color rgb="FFFF0000"/>
      </left>
      <right style="thin">
        <color rgb="FFFF0000"/>
      </right>
      <top style="medium">
        <color rgb="FFFF0000"/>
      </top>
      <bottom style="thin">
        <color rgb="FFFF0000"/>
      </bottom>
      <diagonal/>
    </border>
    <border>
      <left style="thin">
        <color rgb="FFFF0000"/>
      </left>
      <right style="thin">
        <color rgb="FFFF0000"/>
      </right>
      <top style="medium">
        <color rgb="FFFF0000"/>
      </top>
      <bottom style="thin">
        <color rgb="FFFF0000"/>
      </bottom>
      <diagonal/>
    </border>
    <border>
      <left style="thin">
        <color rgb="FFFF0000"/>
      </left>
      <right style="medium">
        <color rgb="FFFF0000"/>
      </right>
      <top style="medium">
        <color rgb="FFFF0000"/>
      </top>
      <bottom style="thin">
        <color rgb="FFFF0000"/>
      </bottom>
      <diagonal/>
    </border>
    <border>
      <left style="medium">
        <color rgb="FFFF0000"/>
      </left>
      <right style="thin">
        <color rgb="FFFF0000"/>
      </right>
      <top style="thin">
        <color rgb="FFFF0000"/>
      </top>
      <bottom style="thin">
        <color rgb="FFFF0000"/>
      </bottom>
      <diagonal/>
    </border>
    <border>
      <left style="thin">
        <color rgb="FFFF0000"/>
      </left>
      <right style="medium">
        <color rgb="FFFF0000"/>
      </right>
      <top style="thin">
        <color rgb="FFFF0000"/>
      </top>
      <bottom style="thin">
        <color rgb="FFFF0000"/>
      </bottom>
      <diagonal/>
    </border>
    <border>
      <left style="medium">
        <color rgb="FFFF0000"/>
      </left>
      <right style="thin">
        <color rgb="FFFF0000"/>
      </right>
      <top style="thin">
        <color rgb="FFFF0000"/>
      </top>
      <bottom style="medium">
        <color rgb="FFFF0000"/>
      </bottom>
      <diagonal/>
    </border>
    <border>
      <left style="thin">
        <color rgb="FFFF0000"/>
      </left>
      <right style="thin">
        <color rgb="FFFF0000"/>
      </right>
      <top style="thin">
        <color rgb="FFFF0000"/>
      </top>
      <bottom style="medium">
        <color rgb="FFFF0000"/>
      </bottom>
      <diagonal/>
    </border>
    <border>
      <left style="thin">
        <color rgb="FFFF0000"/>
      </left>
      <right style="medium">
        <color rgb="FFFF0000"/>
      </right>
      <top/>
      <bottom style="thin">
        <color rgb="FFFF0000"/>
      </bottom>
      <diagonal/>
    </border>
    <border>
      <left style="thin">
        <color rgb="FFFF0000"/>
      </left>
      <right style="thin">
        <color rgb="FFFF0000"/>
      </right>
      <top/>
      <bottom style="medium">
        <color rgb="FFFF0000"/>
      </bottom>
      <diagonal/>
    </border>
    <border>
      <left style="thin">
        <color rgb="FFFF0000"/>
      </left>
      <right style="medium">
        <color rgb="FFFF0000"/>
      </right>
      <top/>
      <bottom style="medium">
        <color rgb="FFFF0000"/>
      </bottom>
      <diagonal/>
    </border>
    <border>
      <left style="thin">
        <color rgb="FFFF0000"/>
      </left>
      <right/>
      <top style="medium">
        <color rgb="FFFF0000"/>
      </top>
      <bottom style="thin">
        <color rgb="FFFF0000"/>
      </bottom>
      <diagonal/>
    </border>
    <border>
      <left/>
      <right/>
      <top style="medium">
        <color rgb="FFFF0000"/>
      </top>
      <bottom style="thin">
        <color rgb="FFFF0000"/>
      </bottom>
      <diagonal/>
    </border>
    <border>
      <left/>
      <right style="thin">
        <color rgb="FFFF0000"/>
      </right>
      <top style="medium">
        <color rgb="FFFF0000"/>
      </top>
      <bottom style="thin">
        <color rgb="FFFF0000"/>
      </bottom>
      <diagonal/>
    </border>
    <border>
      <left/>
      <right/>
      <top/>
      <bottom style="medium">
        <color rgb="FFFF0000"/>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style="thin">
        <color rgb="FFFF0000"/>
      </right>
      <top style="medium">
        <color rgb="FFFF0000"/>
      </top>
      <bottom style="medium">
        <color rgb="FFFF0000"/>
      </bottom>
      <diagonal/>
    </border>
    <border>
      <left/>
      <right style="thin">
        <color rgb="FFFF0000"/>
      </right>
      <top style="thin">
        <color rgb="FFFF0000"/>
      </top>
      <bottom style="thin">
        <color rgb="FFFF0000"/>
      </bottom>
      <diagonal/>
    </border>
    <border>
      <left/>
      <right style="thin">
        <color rgb="FFFF0000"/>
      </right>
      <top style="medium">
        <color rgb="FFFF0000"/>
      </top>
      <bottom/>
      <diagonal/>
    </border>
    <border>
      <left style="medium">
        <color rgb="FFFF0000"/>
      </left>
      <right/>
      <top style="medium">
        <color rgb="FFFF0000"/>
      </top>
      <bottom/>
      <diagonal/>
    </border>
    <border>
      <left/>
      <right style="medium">
        <color rgb="FFFF0000"/>
      </right>
      <top style="medium">
        <color rgb="FFFF0000"/>
      </top>
      <bottom/>
      <diagonal/>
    </border>
    <border>
      <left/>
      <right style="medium">
        <color rgb="FFFF0000"/>
      </right>
      <top style="medium">
        <color rgb="FFFF0000"/>
      </top>
      <bottom style="thin">
        <color rgb="FFFF0000"/>
      </bottom>
      <diagonal/>
    </border>
    <border>
      <left style="thin">
        <color rgb="FFFF0000"/>
      </left>
      <right style="medium">
        <color rgb="FFFF0000"/>
      </right>
      <top style="thin">
        <color rgb="FFFF0000"/>
      </top>
      <bottom style="medium">
        <color rgb="FFFF0000"/>
      </bottom>
      <diagonal/>
    </border>
    <border>
      <left style="medium">
        <color rgb="FFFF0000"/>
      </left>
      <right/>
      <top/>
      <bottom style="medium">
        <color rgb="FFFF0000"/>
      </bottom>
      <diagonal/>
    </border>
    <border>
      <left/>
      <right style="medium">
        <color rgb="FFFF0000"/>
      </right>
      <top/>
      <bottom style="medium">
        <color rgb="FFFF0000"/>
      </bottom>
      <diagonal/>
    </border>
    <border>
      <left style="medium">
        <color rgb="FFFF0000"/>
      </left>
      <right style="thin">
        <color rgb="FFFF0000"/>
      </right>
      <top style="medium">
        <color rgb="FFFF0000"/>
      </top>
      <bottom/>
      <diagonal/>
    </border>
    <border>
      <left style="medium">
        <color rgb="FFFF0000"/>
      </left>
      <right style="thin">
        <color rgb="FFFF0000"/>
      </right>
      <top/>
      <bottom style="medium">
        <color rgb="FFFF0000"/>
      </bottom>
      <diagonal/>
    </border>
    <border>
      <left/>
      <right/>
      <top style="thin">
        <color rgb="FF7030A0"/>
      </top>
      <bottom/>
      <diagonal/>
    </border>
    <border>
      <left style="medium">
        <color rgb="FFFF0000"/>
      </left>
      <right/>
      <top style="medium">
        <color rgb="FFFF0000"/>
      </top>
      <bottom style="thin">
        <color rgb="FF7030A0"/>
      </bottom>
      <diagonal/>
    </border>
    <border>
      <left/>
      <right/>
      <top style="medium">
        <color rgb="FFFF0000"/>
      </top>
      <bottom style="thin">
        <color rgb="FF7030A0"/>
      </bottom>
      <diagonal/>
    </border>
    <border>
      <left style="thin">
        <color rgb="FF7030A0"/>
      </left>
      <right/>
      <top style="medium">
        <color rgb="FFFF0000"/>
      </top>
      <bottom style="thin">
        <color rgb="FF7030A0"/>
      </bottom>
      <diagonal/>
    </border>
    <border>
      <left/>
      <right style="thin">
        <color rgb="FF7030A0"/>
      </right>
      <top style="medium">
        <color rgb="FFFF0000"/>
      </top>
      <bottom style="thin">
        <color rgb="FF7030A0"/>
      </bottom>
      <diagonal/>
    </border>
    <border>
      <left/>
      <right style="medium">
        <color rgb="FFFF0000"/>
      </right>
      <top style="medium">
        <color rgb="FFFF0000"/>
      </top>
      <bottom style="thin">
        <color rgb="FF7030A0"/>
      </bottom>
      <diagonal/>
    </border>
    <border>
      <left/>
      <right style="thin">
        <color rgb="FF7030A0"/>
      </right>
      <top/>
      <bottom style="medium">
        <color rgb="FFFF0000"/>
      </bottom>
      <diagonal/>
    </border>
    <border>
      <left style="thin">
        <color rgb="FF7030A0"/>
      </left>
      <right style="thin">
        <color rgb="FF7030A0"/>
      </right>
      <top/>
      <bottom style="medium">
        <color rgb="FFFF0000"/>
      </bottom>
      <diagonal/>
    </border>
    <border>
      <left style="thin">
        <color rgb="FF7030A0"/>
      </left>
      <right/>
      <top/>
      <bottom/>
      <diagonal/>
    </border>
    <border>
      <left/>
      <right style="thin">
        <color rgb="FF7030A0"/>
      </right>
      <top/>
      <bottom/>
      <diagonal/>
    </border>
    <border>
      <left style="medium">
        <color rgb="FFFF0000"/>
      </left>
      <right style="thin">
        <color rgb="FF7030A0"/>
      </right>
      <top style="thin">
        <color rgb="FF7030A0"/>
      </top>
      <bottom style="medium">
        <color rgb="FFFF0000"/>
      </bottom>
      <diagonal/>
    </border>
    <border>
      <left style="medium">
        <color rgb="FFFF0000"/>
      </left>
      <right/>
      <top/>
      <bottom/>
      <diagonal/>
    </border>
    <border>
      <left/>
      <right style="medium">
        <color rgb="FFFF0000"/>
      </right>
      <top/>
      <bottom/>
      <diagonal/>
    </border>
    <border>
      <left style="medium">
        <color rgb="FFFF0000"/>
      </left>
      <right/>
      <top style="thin">
        <color rgb="FF7030A0"/>
      </top>
      <bottom/>
      <diagonal/>
    </border>
    <border>
      <left/>
      <right style="thin">
        <color rgb="FF7030A0"/>
      </right>
      <top style="thin">
        <color rgb="FF7030A0"/>
      </top>
      <bottom/>
      <diagonal/>
    </border>
    <border>
      <left style="thin">
        <color rgb="FF7030A0"/>
      </left>
      <right style="thin">
        <color rgb="FF7030A0"/>
      </right>
      <top style="thin">
        <color rgb="FF7030A0"/>
      </top>
      <bottom/>
      <diagonal/>
    </border>
    <border>
      <left style="thin">
        <color rgb="FFFF0000"/>
      </left>
      <right/>
      <top style="medium">
        <color rgb="FFFF0000"/>
      </top>
      <bottom/>
      <diagonal/>
    </border>
    <border>
      <left style="thin">
        <color rgb="FFFF0000"/>
      </left>
      <right style="medium">
        <color rgb="FFFF0000"/>
      </right>
      <top style="medium">
        <color rgb="FFFF0000"/>
      </top>
      <bottom/>
      <diagonal/>
    </border>
    <border>
      <left/>
      <right style="thin">
        <color rgb="FFFF0000"/>
      </right>
      <top style="thin">
        <color rgb="FFFF0000"/>
      </top>
      <bottom style="medium">
        <color rgb="FFFF0000"/>
      </bottom>
      <diagonal/>
    </border>
    <border>
      <left style="medium">
        <color rgb="FFFF0000"/>
      </left>
      <right/>
      <top style="medium">
        <color rgb="FFFF0000"/>
      </top>
      <bottom style="thin">
        <color rgb="FFFF0000"/>
      </bottom>
      <diagonal/>
    </border>
    <border>
      <left style="medium">
        <color rgb="FFFF0000"/>
      </left>
      <right/>
      <top style="thin">
        <color rgb="FFFF0000"/>
      </top>
      <bottom style="thin">
        <color rgb="FFFF0000"/>
      </bottom>
      <diagonal/>
    </border>
    <border>
      <left style="medium">
        <color rgb="FFFF0000"/>
      </left>
      <right/>
      <top style="thin">
        <color rgb="FFFF0000"/>
      </top>
      <bottom style="medium">
        <color rgb="FFFF0000"/>
      </bottom>
      <diagonal/>
    </border>
    <border>
      <left/>
      <right style="thin">
        <color rgb="FFFF0000"/>
      </right>
      <top/>
      <bottom style="medium">
        <color rgb="FFFF0000"/>
      </bottom>
      <diagonal/>
    </border>
    <border>
      <left/>
      <right style="medium">
        <color rgb="FFFF0000"/>
      </right>
      <top style="thin">
        <color rgb="FFFF0000"/>
      </top>
      <bottom style="thin">
        <color rgb="FFFF0000"/>
      </bottom>
      <diagonal/>
    </border>
    <border>
      <left/>
      <right style="medium">
        <color rgb="FFFF0000"/>
      </right>
      <top style="thin">
        <color rgb="FFFF0000"/>
      </top>
      <bottom style="medium">
        <color rgb="FFFF0000"/>
      </bottom>
      <diagonal/>
    </border>
    <border>
      <left style="thin">
        <color rgb="FFFF0000"/>
      </left>
      <right/>
      <top/>
      <bottom style="medium">
        <color rgb="FFFF0000"/>
      </bottom>
      <diagonal/>
    </border>
    <border>
      <left style="thin">
        <color rgb="FFFF0000"/>
      </left>
      <right/>
      <top style="thin">
        <color rgb="FFFF0000"/>
      </top>
      <bottom style="thin">
        <color rgb="FFFF0000"/>
      </bottom>
      <diagonal/>
    </border>
    <border>
      <left style="thin">
        <color rgb="FFFF0000"/>
      </left>
      <right/>
      <top style="thin">
        <color rgb="FFFF0000"/>
      </top>
      <bottom style="medium">
        <color rgb="FFFF0000"/>
      </bottom>
      <diagonal/>
    </border>
    <border>
      <left style="thin">
        <color rgb="FFFF0000"/>
      </left>
      <right/>
      <top style="medium">
        <color rgb="FFFF0000"/>
      </top>
      <bottom style="medium">
        <color rgb="FFFF0000"/>
      </bottom>
      <diagonal/>
    </border>
    <border>
      <left/>
      <right style="medium">
        <color rgb="FFFF0000"/>
      </right>
      <top/>
      <bottom style="thin">
        <color rgb="FFFF0000"/>
      </bottom>
      <diagonal/>
    </border>
    <border>
      <left style="thin">
        <color indexed="64"/>
      </left>
      <right style="thin">
        <color indexed="64"/>
      </right>
      <top style="thin">
        <color indexed="64"/>
      </top>
      <bottom style="thin">
        <color indexed="64"/>
      </bottom>
      <diagonal/>
    </border>
    <border>
      <left/>
      <right/>
      <top style="thin">
        <color rgb="FFFF0000"/>
      </top>
      <bottom style="thin">
        <color rgb="FFFF0000"/>
      </bottom>
      <diagonal/>
    </border>
    <border>
      <left/>
      <right/>
      <top style="thin">
        <color rgb="FFFF0000"/>
      </top>
      <bottom style="medium">
        <color rgb="FFFF0000"/>
      </bottom>
      <diagonal/>
    </border>
    <border>
      <left style="medium">
        <color rgb="FFFF0000"/>
      </left>
      <right style="thin">
        <color rgb="FFFF0000"/>
      </right>
      <top/>
      <bottom style="thin">
        <color rgb="FFFF0000"/>
      </bottom>
      <diagonal/>
    </border>
    <border>
      <left style="thin">
        <color rgb="FFFF0000"/>
      </left>
      <right style="thin">
        <color rgb="FFFF0000"/>
      </right>
      <top/>
      <bottom/>
      <diagonal/>
    </border>
    <border>
      <left style="thin">
        <color rgb="FFFF0000"/>
      </left>
      <right style="medium">
        <color rgb="FFFF0000"/>
      </right>
      <top/>
      <bottom/>
      <diagonal/>
    </border>
    <border>
      <left style="thin">
        <color rgb="FF7030A0"/>
      </left>
      <right style="thin">
        <color rgb="FF7030A0"/>
      </right>
      <top style="thin">
        <color rgb="FF7030A0"/>
      </top>
      <bottom style="medium">
        <color rgb="FFFF0000"/>
      </bottom>
      <diagonal/>
    </border>
    <border>
      <left style="medium">
        <color rgb="FFFF0000"/>
      </left>
      <right style="thin">
        <color rgb="FF7030A0"/>
      </right>
      <top style="medium">
        <color rgb="FFFF0000"/>
      </top>
      <bottom/>
      <diagonal/>
    </border>
    <border>
      <left style="medium">
        <color rgb="FFFF0000"/>
      </left>
      <right style="thin">
        <color rgb="FF7030A0"/>
      </right>
      <top/>
      <bottom/>
      <diagonal/>
    </border>
    <border>
      <left style="medium">
        <color rgb="FFFF0000"/>
      </left>
      <right style="thin">
        <color rgb="FF7030A0"/>
      </right>
      <top style="thin">
        <color rgb="FF7030A0"/>
      </top>
      <bottom/>
      <diagonal/>
    </border>
    <border>
      <left/>
      <right style="medium">
        <color rgb="FFFF0000"/>
      </right>
      <top style="thin">
        <color rgb="FF7030A0"/>
      </top>
      <bottom/>
      <diagonal/>
    </border>
    <border>
      <left style="thin">
        <color rgb="FF7030A0"/>
      </left>
      <right style="thin">
        <color rgb="FF7030A0"/>
      </right>
      <top style="medium">
        <color rgb="FFFF0000"/>
      </top>
      <bottom style="medium">
        <color rgb="FFFF0000"/>
      </bottom>
      <diagonal/>
    </border>
    <border>
      <left style="thin">
        <color rgb="FF7030A0"/>
      </left>
      <right style="thin">
        <color rgb="FF7030A0"/>
      </right>
      <top/>
      <bottom/>
      <diagonal/>
    </border>
    <border>
      <left style="thin">
        <color rgb="FF7030A0"/>
      </left>
      <right style="medium">
        <color rgb="FFFF0000"/>
      </right>
      <top style="thin">
        <color rgb="FF7030A0"/>
      </top>
      <bottom/>
      <diagonal/>
    </border>
    <border>
      <left style="thin">
        <color rgb="FF7030A0"/>
      </left>
      <right/>
      <top style="medium">
        <color rgb="FFFF0000"/>
      </top>
      <bottom style="medium">
        <color rgb="FFFF0000"/>
      </bottom>
      <diagonal/>
    </border>
    <border>
      <left/>
      <right style="thin">
        <color rgb="FF7030A0"/>
      </right>
      <top style="medium">
        <color rgb="FFFF0000"/>
      </top>
      <bottom style="medium">
        <color rgb="FFFF0000"/>
      </bottom>
      <diagonal/>
    </border>
    <border>
      <left style="medium">
        <color rgb="FFFF0000"/>
      </left>
      <right style="thin">
        <color rgb="FF7030A0"/>
      </right>
      <top/>
      <bottom style="medium">
        <color rgb="FFFF0000"/>
      </bottom>
      <diagonal/>
    </border>
    <border>
      <left style="thin">
        <color rgb="FF7030A0"/>
      </left>
      <right style="medium">
        <color rgb="FFFF0000"/>
      </right>
      <top/>
      <bottom style="medium">
        <color rgb="FFFF0000"/>
      </bottom>
      <diagonal/>
    </border>
    <border>
      <left style="medium">
        <color rgb="FF7030A0"/>
      </left>
      <right style="thin">
        <color rgb="FF7030A0"/>
      </right>
      <top style="medium">
        <color rgb="FF7030A0"/>
      </top>
      <bottom style="thin">
        <color rgb="FF7030A0"/>
      </bottom>
      <diagonal/>
    </border>
    <border>
      <left style="thin">
        <color rgb="FF7030A0"/>
      </left>
      <right style="thin">
        <color rgb="FF7030A0"/>
      </right>
      <top style="medium">
        <color rgb="FF7030A0"/>
      </top>
      <bottom style="thin">
        <color rgb="FF7030A0"/>
      </bottom>
      <diagonal/>
    </border>
    <border>
      <left style="thin">
        <color rgb="FF7030A0"/>
      </left>
      <right style="medium">
        <color rgb="FF7030A0"/>
      </right>
      <top style="medium">
        <color rgb="FF7030A0"/>
      </top>
      <bottom style="thin">
        <color rgb="FF7030A0"/>
      </bottom>
      <diagonal/>
    </border>
    <border>
      <left style="medium">
        <color rgb="FF7030A0"/>
      </left>
      <right style="thin">
        <color rgb="FF7030A0"/>
      </right>
      <top style="thin">
        <color rgb="FF7030A0"/>
      </top>
      <bottom style="thin">
        <color rgb="FF7030A0"/>
      </bottom>
      <diagonal/>
    </border>
    <border>
      <left style="thin">
        <color rgb="FF7030A0"/>
      </left>
      <right style="medium">
        <color rgb="FF7030A0"/>
      </right>
      <top style="thin">
        <color rgb="FF7030A0"/>
      </top>
      <bottom style="thin">
        <color rgb="FF7030A0"/>
      </bottom>
      <diagonal/>
    </border>
    <border>
      <left style="medium">
        <color rgb="FF7030A0"/>
      </left>
      <right style="thin">
        <color rgb="FF7030A0"/>
      </right>
      <top style="thin">
        <color rgb="FF7030A0"/>
      </top>
      <bottom style="medium">
        <color rgb="FF7030A0"/>
      </bottom>
      <diagonal/>
    </border>
    <border>
      <left style="thin">
        <color rgb="FF7030A0"/>
      </left>
      <right style="thin">
        <color rgb="FF7030A0"/>
      </right>
      <top style="thin">
        <color rgb="FF7030A0"/>
      </top>
      <bottom style="medium">
        <color rgb="FF7030A0"/>
      </bottom>
      <diagonal/>
    </border>
    <border>
      <left style="thin">
        <color rgb="FF7030A0"/>
      </left>
      <right style="medium">
        <color rgb="FF7030A0"/>
      </right>
      <top style="thin">
        <color rgb="FF7030A0"/>
      </top>
      <bottom style="medium">
        <color rgb="FF7030A0"/>
      </bottom>
      <diagonal/>
    </border>
    <border>
      <left style="medium">
        <color rgb="FF7030A0"/>
      </left>
      <right style="thin">
        <color rgb="FF7030A0"/>
      </right>
      <top style="thin">
        <color rgb="FF7030A0"/>
      </top>
      <bottom/>
      <diagonal/>
    </border>
    <border>
      <left style="thin">
        <color rgb="FF7030A0"/>
      </left>
      <right style="medium">
        <color rgb="FF7030A0"/>
      </right>
      <top style="thin">
        <color rgb="FF7030A0"/>
      </top>
      <bottom/>
      <diagonal/>
    </border>
    <border>
      <left style="medium">
        <color rgb="FF7030A0"/>
      </left>
      <right style="thin">
        <color rgb="FF7030A0"/>
      </right>
      <top/>
      <bottom/>
      <diagonal/>
    </border>
    <border>
      <left style="thin">
        <color rgb="FF7030A0"/>
      </left>
      <right style="medium">
        <color rgb="FF7030A0"/>
      </right>
      <top/>
      <bottom/>
      <diagonal/>
    </border>
    <border>
      <left style="medium">
        <color rgb="FF7030A0"/>
      </left>
      <right style="thin">
        <color rgb="FF7030A0"/>
      </right>
      <top style="medium">
        <color rgb="FF7030A0"/>
      </top>
      <bottom style="medium">
        <color rgb="FF7030A0"/>
      </bottom>
      <diagonal/>
    </border>
    <border>
      <left style="thin">
        <color rgb="FF7030A0"/>
      </left>
      <right style="thin">
        <color rgb="FF7030A0"/>
      </right>
      <top style="medium">
        <color rgb="FF7030A0"/>
      </top>
      <bottom style="medium">
        <color rgb="FF7030A0"/>
      </bottom>
      <diagonal/>
    </border>
    <border>
      <left style="thin">
        <color rgb="FF7030A0"/>
      </left>
      <right style="medium">
        <color rgb="FF7030A0"/>
      </right>
      <top style="medium">
        <color rgb="FF7030A0"/>
      </top>
      <bottom style="medium">
        <color rgb="FF7030A0"/>
      </bottom>
      <diagonal/>
    </border>
    <border>
      <left/>
      <right/>
      <top style="medium">
        <color rgb="FF7030A0"/>
      </top>
      <bottom/>
      <diagonal/>
    </border>
    <border>
      <left/>
      <right/>
      <top style="thin">
        <color rgb="FF7030A0"/>
      </top>
      <bottom style="thin">
        <color rgb="FF7030A0"/>
      </bottom>
      <diagonal/>
    </border>
    <border>
      <left style="medium">
        <color rgb="FF7030A0"/>
      </left>
      <right/>
      <top style="medium">
        <color rgb="FF7030A0"/>
      </top>
      <bottom style="medium">
        <color rgb="FF7030A0"/>
      </bottom>
      <diagonal/>
    </border>
    <border>
      <left/>
      <right/>
      <top style="medium">
        <color rgb="FF7030A0"/>
      </top>
      <bottom style="medium">
        <color rgb="FF7030A0"/>
      </bottom>
      <diagonal/>
    </border>
    <border>
      <left/>
      <right style="medium">
        <color rgb="FF7030A0"/>
      </right>
      <top style="medium">
        <color rgb="FF7030A0"/>
      </top>
      <bottom style="medium">
        <color rgb="FF7030A0"/>
      </bottom>
      <diagonal/>
    </border>
    <border>
      <left style="medium">
        <color rgb="FF7030A0"/>
      </left>
      <right/>
      <top/>
      <bottom style="medium">
        <color rgb="FF7030A0"/>
      </bottom>
      <diagonal/>
    </border>
    <border>
      <left/>
      <right/>
      <top/>
      <bottom style="medium">
        <color rgb="FF7030A0"/>
      </bottom>
      <diagonal/>
    </border>
    <border>
      <left/>
      <right style="medium">
        <color rgb="FF7030A0"/>
      </right>
      <top/>
      <bottom style="medium">
        <color rgb="FF7030A0"/>
      </bottom>
      <diagonal/>
    </border>
    <border>
      <left style="thin">
        <color indexed="64"/>
      </left>
      <right style="thin">
        <color indexed="64"/>
      </right>
      <top/>
      <bottom style="thin">
        <color indexed="64"/>
      </bottom>
      <diagonal/>
    </border>
    <border>
      <left style="medium">
        <color theme="0"/>
      </left>
      <right style="medium">
        <color theme="0"/>
      </right>
      <top style="medium">
        <color theme="0"/>
      </top>
      <bottom/>
      <diagonal/>
    </border>
    <border>
      <left style="medium">
        <color theme="0"/>
      </left>
      <right style="medium">
        <color theme="0"/>
      </right>
      <top/>
      <bottom style="medium">
        <color theme="0"/>
      </bottom>
      <diagonal/>
    </border>
    <border>
      <left style="medium">
        <color theme="5" tint="-0.249977111117893"/>
      </left>
      <right style="medium">
        <color theme="5" tint="-0.249977111117893"/>
      </right>
      <top style="medium">
        <color theme="5" tint="-0.249977111117893"/>
      </top>
      <bottom style="thin">
        <color theme="5" tint="-0.249977111117893"/>
      </bottom>
      <diagonal/>
    </border>
    <border>
      <left style="medium">
        <color theme="5" tint="-0.249977111117893"/>
      </left>
      <right style="medium">
        <color theme="5" tint="-0.249977111117893"/>
      </right>
      <top style="thin">
        <color theme="5" tint="-0.249977111117893"/>
      </top>
      <bottom style="medium">
        <color theme="5" tint="-0.249977111117893"/>
      </bottom>
      <diagonal/>
    </border>
    <border>
      <left style="medium">
        <color theme="5" tint="-0.249977111117893"/>
      </left>
      <right style="medium">
        <color theme="5" tint="-0.249977111117893"/>
      </right>
      <top/>
      <bottom/>
      <diagonal/>
    </border>
    <border>
      <left style="medium">
        <color theme="5" tint="-0.249977111117893"/>
      </left>
      <right style="medium">
        <color theme="5" tint="-0.249977111117893"/>
      </right>
      <top/>
      <bottom style="medium">
        <color theme="5" tint="-0.249977111117893"/>
      </bottom>
      <diagonal/>
    </border>
    <border>
      <left style="medium">
        <color theme="0"/>
      </left>
      <right style="medium">
        <color theme="0"/>
      </right>
      <top style="medium">
        <color theme="0"/>
      </top>
      <bottom style="medium">
        <color theme="0"/>
      </bottom>
      <diagonal/>
    </border>
    <border>
      <left style="thin">
        <color rgb="FF7030A0"/>
      </left>
      <right/>
      <top style="thin">
        <color rgb="FF7030A0"/>
      </top>
      <bottom style="medium">
        <color rgb="FFFF0000"/>
      </bottom>
      <diagonal/>
    </border>
    <border>
      <left/>
      <right style="medium">
        <color rgb="FFFF0000"/>
      </right>
      <top style="thin">
        <color rgb="FF7030A0"/>
      </top>
      <bottom style="medium">
        <color rgb="FFFF0000"/>
      </bottom>
      <diagonal/>
    </border>
    <border>
      <left/>
      <right/>
      <top style="thin">
        <color rgb="FF7030A0"/>
      </top>
      <bottom style="medium">
        <color rgb="FFFF0000"/>
      </bottom>
      <diagonal/>
    </border>
    <border>
      <left style="medium">
        <color theme="5" tint="-0.249977111117893"/>
      </left>
      <right style="medium">
        <color theme="5" tint="-0.249977111117893"/>
      </right>
      <top style="thin">
        <color theme="5" tint="-0.249977111117893"/>
      </top>
      <bottom/>
      <diagonal/>
    </border>
    <border>
      <left style="medium">
        <color theme="5" tint="-0.249977111117893"/>
      </left>
      <right style="medium">
        <color theme="5" tint="-0.249977111117893"/>
      </right>
      <top/>
      <bottom style="thin">
        <color theme="5" tint="-0.249977111117893"/>
      </bottom>
      <diagonal/>
    </border>
    <border>
      <left style="thin">
        <color rgb="FF7030A0"/>
      </left>
      <right/>
      <top style="thin">
        <color rgb="FF7030A0"/>
      </top>
      <bottom/>
      <diagonal/>
    </border>
    <border>
      <left style="medium">
        <color theme="0"/>
      </left>
      <right/>
      <top/>
      <bottom/>
      <diagonal/>
    </border>
    <border>
      <left style="thin">
        <color rgb="FF7030A0"/>
      </left>
      <right/>
      <top style="medium">
        <color rgb="FFFF0000"/>
      </top>
      <bottom/>
      <diagonal/>
    </border>
    <border>
      <left style="medium">
        <color theme="0"/>
      </left>
      <right/>
      <top style="medium">
        <color theme="0"/>
      </top>
      <bottom/>
      <diagonal/>
    </border>
    <border>
      <left/>
      <right style="medium">
        <color theme="0"/>
      </right>
      <top style="medium">
        <color theme="0"/>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medium">
        <color theme="0"/>
      </left>
      <right style="thin">
        <color indexed="64"/>
      </right>
      <top/>
      <bottom style="thin">
        <color indexed="64"/>
      </bottom>
      <diagonal/>
    </border>
    <border>
      <left style="thin">
        <color indexed="64"/>
      </left>
      <right style="medium">
        <color theme="0"/>
      </right>
      <top/>
      <bottom style="thin">
        <color indexed="64"/>
      </bottom>
      <diagonal/>
    </border>
    <border>
      <left style="medium">
        <color theme="0"/>
      </left>
      <right style="thin">
        <color indexed="64"/>
      </right>
      <top style="thin">
        <color indexed="64"/>
      </top>
      <bottom style="thin">
        <color indexed="64"/>
      </bottom>
      <diagonal/>
    </border>
    <border>
      <left style="thin">
        <color indexed="64"/>
      </left>
      <right style="medium">
        <color theme="0"/>
      </right>
      <top style="thin">
        <color indexed="64"/>
      </top>
      <bottom style="thin">
        <color indexed="64"/>
      </bottom>
      <diagonal/>
    </border>
    <border>
      <left style="medium">
        <color theme="0"/>
      </left>
      <right style="thin">
        <color indexed="64"/>
      </right>
      <top style="thin">
        <color indexed="64"/>
      </top>
      <bottom style="medium">
        <color indexed="64"/>
      </bottom>
      <diagonal/>
    </border>
    <border>
      <left style="thin">
        <color indexed="64"/>
      </left>
      <right style="medium">
        <color theme="0"/>
      </right>
      <top style="thin">
        <color indexed="64"/>
      </top>
      <bottom style="medium">
        <color indexed="64"/>
      </bottom>
      <diagonal/>
    </border>
    <border>
      <left style="medium">
        <color theme="0"/>
      </left>
      <right/>
      <top style="medium">
        <color indexed="64"/>
      </top>
      <bottom style="medium">
        <color theme="0"/>
      </bottom>
      <diagonal/>
    </border>
    <border>
      <left/>
      <right style="medium">
        <color theme="0"/>
      </right>
      <top style="medium">
        <color indexed="64"/>
      </top>
      <bottom style="medium">
        <color theme="0"/>
      </bottom>
      <diagonal/>
    </border>
    <border>
      <left/>
      <right/>
      <top style="medium">
        <color theme="0"/>
      </top>
      <bottom/>
      <diagonal/>
    </border>
    <border>
      <left style="medium">
        <color theme="0"/>
      </left>
      <right/>
      <top style="thin">
        <color indexed="64"/>
      </top>
      <bottom style="medium">
        <color theme="0"/>
      </bottom>
      <diagonal/>
    </border>
    <border>
      <left/>
      <right/>
      <top style="thin">
        <color indexed="64"/>
      </top>
      <bottom style="medium">
        <color theme="0"/>
      </bottom>
      <diagonal/>
    </border>
    <border>
      <left/>
      <right style="medium">
        <color theme="0"/>
      </right>
      <top style="thin">
        <color indexed="64"/>
      </top>
      <bottom style="medium">
        <color theme="0"/>
      </bottom>
      <diagonal/>
    </border>
    <border>
      <left/>
      <right/>
      <top/>
      <bottom style="medium">
        <color theme="0"/>
      </bottom>
      <diagonal/>
    </border>
    <border>
      <left style="thin">
        <color rgb="FF7030A0"/>
      </left>
      <right/>
      <top/>
      <bottom style="thin">
        <color rgb="FF7030A0"/>
      </bottom>
      <diagonal/>
    </border>
    <border>
      <left/>
      <right/>
      <top/>
      <bottom style="thin">
        <color rgb="FF7030A0"/>
      </bottom>
      <diagonal/>
    </border>
    <border>
      <left/>
      <right style="thin">
        <color rgb="FF7030A0"/>
      </right>
      <top/>
      <bottom style="thin">
        <color rgb="FF7030A0"/>
      </bottom>
      <diagonal/>
    </border>
    <border>
      <left style="thin">
        <color rgb="FF7030A0"/>
      </left>
      <right style="thin">
        <color rgb="FF7030A0"/>
      </right>
      <top/>
      <bottom style="thin">
        <color rgb="FF7030A0"/>
      </bottom>
      <diagonal/>
    </border>
    <border>
      <left style="thin">
        <color rgb="FF7030A0"/>
      </left>
      <right style="medium">
        <color rgb="FF7030A0"/>
      </right>
      <top/>
      <bottom style="thin">
        <color rgb="FF7030A0"/>
      </bottom>
      <diagonal/>
    </border>
  </borders>
  <cellStyleXfs count="6">
    <xf numFmtId="0" fontId="0" fillId="0" borderId="0"/>
    <xf numFmtId="0" fontId="43" fillId="0" borderId="0"/>
    <xf numFmtId="0" fontId="43" fillId="0" borderId="0"/>
    <xf numFmtId="0" fontId="43" fillId="0" borderId="0"/>
    <xf numFmtId="169" fontId="43" fillId="0" borderId="0" applyFont="0" applyFill="0" applyBorder="0" applyAlignment="0" applyProtection="0"/>
    <xf numFmtId="0" fontId="78" fillId="0" borderId="0" applyNumberFormat="0" applyFill="0" applyBorder="0" applyAlignment="0" applyProtection="0">
      <alignment vertical="top"/>
      <protection locked="0"/>
    </xf>
  </cellStyleXfs>
  <cellXfs count="706">
    <xf numFmtId="0" fontId="0" fillId="0" borderId="0" xfId="0"/>
    <xf numFmtId="0" fontId="0" fillId="0" borderId="0" xfId="0" applyProtection="1">
      <protection hidden="1"/>
    </xf>
    <xf numFmtId="0" fontId="0" fillId="2" borderId="0" xfId="0" applyFill="1" applyProtection="1">
      <protection hidden="1"/>
    </xf>
    <xf numFmtId="0" fontId="0" fillId="2" borderId="0" xfId="0" applyFill="1" applyAlignment="1" applyProtection="1">
      <alignment horizontal="center" vertical="center"/>
      <protection hidden="1"/>
    </xf>
    <xf numFmtId="0" fontId="5" fillId="0" borderId="0" xfId="0" applyFont="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Alignment="1" applyProtection="1">
      <alignment wrapText="1"/>
      <protection hidden="1"/>
    </xf>
    <xf numFmtId="2" fontId="5" fillId="0" borderId="0" xfId="0" applyNumberFormat="1" applyFont="1" applyAlignment="1" applyProtection="1">
      <alignment horizontal="center" vertical="center" wrapText="1"/>
      <protection hidden="1"/>
    </xf>
    <xf numFmtId="0" fontId="6" fillId="4" borderId="0" xfId="0" applyFont="1" applyFill="1" applyProtection="1">
      <protection hidden="1"/>
    </xf>
    <xf numFmtId="0" fontId="8" fillId="4" borderId="0" xfId="0" applyFont="1" applyFill="1" applyProtection="1">
      <protection hidden="1"/>
    </xf>
    <xf numFmtId="0" fontId="0" fillId="0" borderId="0" xfId="0" applyAlignment="1" applyProtection="1">
      <protection hidden="1"/>
    </xf>
    <xf numFmtId="0" fontId="15" fillId="0" borderId="0" xfId="0" applyFont="1" applyAlignment="1" applyProtection="1">
      <alignment horizontal="center" vertical="center" wrapText="1"/>
      <protection hidden="1"/>
    </xf>
    <xf numFmtId="0" fontId="8" fillId="4" borderId="0" xfId="0" applyFont="1" applyFill="1" applyBorder="1" applyAlignment="1" applyProtection="1">
      <alignment horizontal="center" vertical="center" wrapText="1"/>
      <protection hidden="1"/>
    </xf>
    <xf numFmtId="0" fontId="8" fillId="4" borderId="34" xfId="0" applyFont="1" applyFill="1" applyBorder="1" applyAlignment="1" applyProtection="1">
      <alignment wrapText="1"/>
      <protection hidden="1"/>
    </xf>
    <xf numFmtId="0" fontId="21" fillId="0" borderId="10" xfId="0" applyFont="1" applyBorder="1" applyAlignment="1" applyProtection="1">
      <alignment horizontal="center" vertical="center" wrapText="1"/>
      <protection hidden="1"/>
    </xf>
    <xf numFmtId="0" fontId="21" fillId="0" borderId="13" xfId="0" applyFont="1" applyBorder="1" applyAlignment="1" applyProtection="1">
      <alignment horizontal="center" vertical="center" wrapText="1"/>
      <protection hidden="1"/>
    </xf>
    <xf numFmtId="1" fontId="5" fillId="0" borderId="0" xfId="0" applyNumberFormat="1" applyFont="1" applyAlignment="1" applyProtection="1">
      <alignment horizontal="center" vertical="center" wrapText="1"/>
      <protection hidden="1"/>
    </xf>
    <xf numFmtId="0" fontId="12" fillId="4" borderId="0" xfId="0" applyFont="1" applyFill="1" applyBorder="1" applyAlignment="1" applyProtection="1">
      <alignment horizontal="center" wrapText="1"/>
      <protection hidden="1"/>
    </xf>
    <xf numFmtId="0" fontId="5" fillId="0" borderId="0" xfId="0" applyFont="1" applyProtection="1">
      <protection hidden="1"/>
    </xf>
    <xf numFmtId="0" fontId="35" fillId="0" borderId="0" xfId="0" applyFont="1" applyProtection="1">
      <protection hidden="1"/>
    </xf>
    <xf numFmtId="0" fontId="41" fillId="13" borderId="72" xfId="0" applyFont="1" applyFill="1" applyBorder="1" applyAlignment="1" applyProtection="1">
      <alignment horizontal="center" vertical="center" wrapText="1"/>
      <protection locked="0"/>
    </xf>
    <xf numFmtId="0" fontId="41" fillId="13" borderId="73" xfId="0" applyFont="1" applyFill="1" applyBorder="1" applyAlignment="1" applyProtection="1">
      <alignment horizontal="center" vertical="center" wrapText="1"/>
      <protection locked="0"/>
    </xf>
    <xf numFmtId="0" fontId="7" fillId="4" borderId="9" xfId="0" applyFont="1" applyFill="1" applyBorder="1" applyAlignment="1" applyProtection="1">
      <alignment horizontal="center" vertical="center" wrapText="1"/>
      <protection hidden="1"/>
    </xf>
    <xf numFmtId="0" fontId="7" fillId="4" borderId="0" xfId="0" applyFont="1" applyFill="1" applyBorder="1" applyAlignment="1" applyProtection="1">
      <alignment horizontal="center" vertical="center" wrapText="1"/>
      <protection hidden="1"/>
    </xf>
    <xf numFmtId="1" fontId="7" fillId="0" borderId="12" xfId="0" applyNumberFormat="1" applyFont="1" applyBorder="1" applyAlignment="1" applyProtection="1">
      <alignment horizontal="center" vertical="center" wrapText="1"/>
      <protection hidden="1"/>
    </xf>
    <xf numFmtId="0" fontId="7" fillId="0" borderId="14" xfId="0" applyFont="1" applyBorder="1" applyAlignment="1" applyProtection="1">
      <alignment horizontal="center" vertical="center" wrapText="1"/>
      <protection hidden="1"/>
    </xf>
    <xf numFmtId="1" fontId="7" fillId="0" borderId="17" xfId="0" applyNumberFormat="1" applyFont="1" applyBorder="1" applyAlignment="1" applyProtection="1">
      <alignment horizontal="center" vertical="center" wrapText="1"/>
      <protection hidden="1"/>
    </xf>
    <xf numFmtId="1" fontId="7" fillId="0" borderId="19" xfId="0" applyNumberFormat="1" applyFont="1" applyBorder="1" applyAlignment="1" applyProtection="1">
      <alignment horizontal="center" vertical="center" wrapText="1"/>
      <protection hidden="1"/>
    </xf>
    <xf numFmtId="0" fontId="47" fillId="0" borderId="0" xfId="0" applyFont="1" applyAlignment="1" applyProtection="1">
      <alignment wrapText="1"/>
      <protection hidden="1"/>
    </xf>
    <xf numFmtId="164" fontId="47" fillId="0" borderId="0" xfId="0" applyNumberFormat="1" applyFont="1" applyAlignment="1" applyProtection="1">
      <alignment wrapText="1"/>
      <protection hidden="1"/>
    </xf>
    <xf numFmtId="0" fontId="47" fillId="0" borderId="0" xfId="0" applyFont="1" applyAlignment="1" applyProtection="1">
      <alignment horizontal="center" vertical="center" wrapText="1"/>
      <protection hidden="1"/>
    </xf>
    <xf numFmtId="1" fontId="48" fillId="0" borderId="7" xfId="0" applyNumberFormat="1" applyFont="1" applyBorder="1" applyAlignment="1" applyProtection="1">
      <alignment horizontal="center" vertical="center" textRotation="90" wrapText="1"/>
      <protection hidden="1"/>
    </xf>
    <xf numFmtId="1" fontId="19" fillId="0" borderId="66" xfId="0" applyNumberFormat="1" applyFont="1" applyBorder="1" applyAlignment="1" applyProtection="1">
      <alignment horizontal="center" vertical="center" textRotation="90" wrapText="1"/>
      <protection hidden="1"/>
    </xf>
    <xf numFmtId="0" fontId="45" fillId="0" borderId="16" xfId="0" applyFont="1" applyBorder="1" applyAlignment="1" applyProtection="1">
      <alignment horizontal="center" vertical="center" textRotation="90" wrapText="1"/>
      <protection locked="0"/>
    </xf>
    <xf numFmtId="0" fontId="4" fillId="0" borderId="16" xfId="0" applyFont="1" applyBorder="1" applyAlignment="1" applyProtection="1">
      <alignment horizontal="center" vertical="center" textRotation="90" wrapText="1"/>
      <protection locked="0"/>
    </xf>
    <xf numFmtId="165" fontId="4" fillId="0" borderId="16" xfId="0" applyNumberFormat="1" applyFont="1" applyBorder="1" applyAlignment="1" applyProtection="1">
      <alignment horizontal="center" vertical="center" textRotation="90" wrapText="1"/>
      <protection locked="0"/>
    </xf>
    <xf numFmtId="0" fontId="16" fillId="0" borderId="19" xfId="0" applyFont="1" applyBorder="1" applyAlignment="1" applyProtection="1">
      <alignment horizontal="center" vertical="center" textRotation="90" wrapText="1"/>
      <protection hidden="1"/>
    </xf>
    <xf numFmtId="0" fontId="4" fillId="0" borderId="16" xfId="0" applyFont="1" applyBorder="1" applyAlignment="1" applyProtection="1">
      <alignment horizontal="center" vertical="center" textRotation="90" wrapText="1"/>
      <protection hidden="1"/>
    </xf>
    <xf numFmtId="0" fontId="8" fillId="4" borderId="30" xfId="0" applyFont="1" applyFill="1" applyBorder="1" applyAlignment="1" applyProtection="1">
      <alignment horizontal="center"/>
      <protection hidden="1"/>
    </xf>
    <xf numFmtId="0" fontId="8" fillId="4" borderId="49" xfId="0" applyFont="1" applyFill="1" applyBorder="1" applyAlignment="1" applyProtection="1">
      <alignment horizontal="center"/>
      <protection hidden="1"/>
    </xf>
    <xf numFmtId="0" fontId="6" fillId="4" borderId="49" xfId="0" applyFont="1" applyFill="1" applyBorder="1" applyAlignment="1" applyProtection="1">
      <alignment horizontal="center"/>
      <protection hidden="1"/>
    </xf>
    <xf numFmtId="0" fontId="5" fillId="0" borderId="49" xfId="0" applyFont="1" applyBorder="1" applyAlignment="1" applyProtection="1">
      <alignment horizontal="center" vertical="center" wrapText="1"/>
      <protection hidden="1"/>
    </xf>
    <xf numFmtId="0" fontId="5" fillId="0" borderId="34" xfId="0" applyFont="1" applyBorder="1" applyAlignment="1" applyProtection="1">
      <alignment horizontal="center" vertical="center" wrapText="1"/>
      <protection hidden="1"/>
    </xf>
    <xf numFmtId="6" fontId="11" fillId="9" borderId="44" xfId="0" applyNumberFormat="1" applyFont="1" applyFill="1" applyBorder="1" applyAlignment="1" applyProtection="1">
      <alignment horizontal="center" vertical="center"/>
      <protection locked="0"/>
    </xf>
    <xf numFmtId="0" fontId="9" fillId="9" borderId="79" xfId="0" applyFont="1" applyFill="1" applyBorder="1" applyAlignment="1" applyProtection="1">
      <alignment horizontal="center" vertical="center" wrapText="1"/>
      <protection locked="0"/>
    </xf>
    <xf numFmtId="166" fontId="9" fillId="9" borderId="79" xfId="0" applyNumberFormat="1" applyFont="1" applyFill="1" applyBorder="1" applyAlignment="1" applyProtection="1">
      <alignment horizontal="center" vertical="center" wrapText="1"/>
      <protection locked="0"/>
    </xf>
    <xf numFmtId="0" fontId="16" fillId="9" borderId="4" xfId="0" applyFont="1" applyFill="1" applyBorder="1" applyAlignment="1" applyProtection="1">
      <alignment horizontal="center" vertical="center" wrapText="1"/>
      <protection locked="0"/>
    </xf>
    <xf numFmtId="0" fontId="9" fillId="9" borderId="44" xfId="0" applyFont="1" applyFill="1" applyBorder="1" applyAlignment="1" applyProtection="1">
      <alignment horizontal="center" vertical="center"/>
      <protection locked="0"/>
    </xf>
    <xf numFmtId="0" fontId="9" fillId="9" borderId="45" xfId="0" applyFont="1" applyFill="1" applyBorder="1" applyAlignment="1" applyProtection="1">
      <alignment horizontal="center" vertical="center"/>
      <protection locked="0"/>
    </xf>
    <xf numFmtId="17" fontId="9" fillId="9" borderId="44" xfId="0" applyNumberFormat="1" applyFont="1" applyFill="1" applyBorder="1" applyAlignment="1" applyProtection="1">
      <alignment horizontal="center" vertical="center"/>
      <protection locked="0"/>
    </xf>
    <xf numFmtId="6" fontId="11" fillId="9" borderId="84" xfId="0" applyNumberFormat="1" applyFont="1" applyFill="1" applyBorder="1" applyAlignment="1" applyProtection="1">
      <alignment horizontal="center" vertical="center"/>
      <protection locked="0"/>
    </xf>
    <xf numFmtId="6" fontId="11" fillId="9" borderId="45" xfId="0" applyNumberFormat="1" applyFont="1" applyFill="1" applyBorder="1" applyAlignment="1" applyProtection="1">
      <alignment horizontal="center" vertical="center"/>
      <protection locked="0"/>
    </xf>
    <xf numFmtId="6" fontId="11" fillId="9" borderId="85" xfId="0" applyNumberFormat="1" applyFont="1" applyFill="1" applyBorder="1" applyAlignment="1" applyProtection="1">
      <alignment horizontal="center" vertical="center"/>
      <protection locked="0"/>
    </xf>
    <xf numFmtId="0" fontId="52" fillId="0" borderId="24" xfId="1" applyFont="1" applyBorder="1" applyAlignment="1" applyProtection="1">
      <alignment vertical="center"/>
      <protection hidden="1"/>
    </xf>
    <xf numFmtId="0" fontId="54" fillId="0" borderId="24" xfId="1" applyFont="1" applyBorder="1" applyAlignment="1" applyProtection="1">
      <alignment vertical="center"/>
      <protection hidden="1"/>
    </xf>
    <xf numFmtId="0" fontId="4" fillId="0" borderId="24" xfId="1" applyFont="1" applyBorder="1" applyAlignment="1" applyProtection="1">
      <alignment vertical="center"/>
      <protection hidden="1"/>
    </xf>
    <xf numFmtId="0" fontId="52" fillId="0" borderId="53" xfId="1" applyFont="1" applyBorder="1" applyAlignment="1" applyProtection="1">
      <alignment vertical="center"/>
      <protection hidden="1"/>
    </xf>
    <xf numFmtId="0" fontId="52" fillId="0" borderId="92" xfId="1" applyFont="1" applyBorder="1" applyAlignment="1" applyProtection="1">
      <alignment vertical="center"/>
      <protection hidden="1"/>
    </xf>
    <xf numFmtId="0" fontId="4" fillId="0" borderId="87" xfId="1" applyFont="1" applyBorder="1" applyAlignment="1" applyProtection="1">
      <alignment vertical="center"/>
      <protection hidden="1"/>
    </xf>
    <xf numFmtId="0" fontId="4" fillId="0" borderId="92" xfId="1" applyFont="1" applyBorder="1" applyAlignment="1" applyProtection="1">
      <alignment vertical="center"/>
      <protection hidden="1"/>
    </xf>
    <xf numFmtId="0" fontId="4" fillId="0" borderId="80" xfId="1" applyFont="1" applyBorder="1" applyAlignment="1" applyProtection="1">
      <alignment vertical="center"/>
      <protection hidden="1"/>
    </xf>
    <xf numFmtId="0" fontId="52" fillId="0" borderId="87" xfId="1" applyFont="1" applyBorder="1" applyAlignment="1" applyProtection="1">
      <alignment vertical="center"/>
      <protection hidden="1"/>
    </xf>
    <xf numFmtId="0" fontId="54" fillId="0" borderId="99" xfId="1" applyFont="1" applyBorder="1" applyAlignment="1" applyProtection="1">
      <alignment vertical="center"/>
      <protection hidden="1"/>
    </xf>
    <xf numFmtId="0" fontId="51" fillId="0" borderId="96" xfId="1" applyFont="1" applyBorder="1" applyAlignment="1" applyProtection="1">
      <alignment horizontal="center" vertical="center"/>
      <protection hidden="1"/>
    </xf>
    <xf numFmtId="0" fontId="51" fillId="0" borderId="98" xfId="1" applyFont="1" applyBorder="1" applyAlignment="1" applyProtection="1">
      <alignment horizontal="center" vertical="center"/>
      <protection hidden="1"/>
    </xf>
    <xf numFmtId="0" fontId="59" fillId="0" borderId="24" xfId="1" applyFont="1" applyBorder="1" applyAlignment="1" applyProtection="1">
      <alignment vertical="center"/>
      <protection hidden="1"/>
    </xf>
    <xf numFmtId="0" fontId="51" fillId="0" borderId="24" xfId="1" applyFont="1" applyBorder="1" applyAlignment="1" applyProtection="1">
      <alignment horizontal="right" vertical="center"/>
      <protection hidden="1"/>
    </xf>
    <xf numFmtId="0" fontId="58" fillId="0" borderId="92" xfId="1" applyFont="1" applyBorder="1" applyAlignment="1" applyProtection="1">
      <alignment horizontal="right" vertical="center"/>
      <protection hidden="1"/>
    </xf>
    <xf numFmtId="0" fontId="58" fillId="0" borderId="90" xfId="1" applyFont="1" applyBorder="1" applyAlignment="1" applyProtection="1">
      <alignment vertical="center"/>
      <protection hidden="1"/>
    </xf>
    <xf numFmtId="2" fontId="60" fillId="0" borderId="93" xfId="1" applyNumberFormat="1" applyFont="1" applyBorder="1" applyAlignment="1" applyProtection="1">
      <alignment horizontal="right" vertical="center"/>
      <protection hidden="1"/>
    </xf>
    <xf numFmtId="2" fontId="39" fillId="0" borderId="90" xfId="1" applyNumberFormat="1" applyFont="1" applyBorder="1" applyAlignment="1" applyProtection="1">
      <alignment vertical="center"/>
      <protection hidden="1"/>
    </xf>
    <xf numFmtId="2" fontId="39" fillId="0" borderId="90" xfId="1" applyNumberFormat="1" applyFont="1" applyBorder="1" applyAlignment="1" applyProtection="1">
      <alignment horizontal="right" vertical="center"/>
      <protection hidden="1"/>
    </xf>
    <xf numFmtId="2" fontId="60" fillId="0" borderId="90" xfId="1" applyNumberFormat="1" applyFont="1" applyBorder="1" applyAlignment="1" applyProtection="1">
      <alignment horizontal="right" vertical="center"/>
      <protection hidden="1"/>
    </xf>
    <xf numFmtId="2" fontId="56" fillId="0" borderId="90" xfId="1" applyNumberFormat="1" applyFont="1" applyBorder="1" applyAlignment="1" applyProtection="1">
      <alignment horizontal="right" vertical="center"/>
      <protection hidden="1"/>
    </xf>
    <xf numFmtId="2" fontId="66" fillId="0" borderId="95" xfId="1" applyNumberFormat="1" applyFont="1" applyBorder="1" applyAlignment="1" applyProtection="1">
      <alignment horizontal="right" vertical="center"/>
      <protection hidden="1"/>
    </xf>
    <xf numFmtId="2" fontId="67" fillId="0" borderId="100" xfId="1" applyNumberFormat="1" applyFont="1" applyBorder="1" applyAlignment="1" applyProtection="1">
      <alignment horizontal="right" vertical="center"/>
      <protection hidden="1"/>
    </xf>
    <xf numFmtId="2" fontId="57" fillId="0" borderId="88" xfId="1" applyNumberFormat="1" applyFont="1" applyBorder="1" applyAlignment="1" applyProtection="1">
      <alignment horizontal="right" vertical="center"/>
      <protection hidden="1"/>
    </xf>
    <xf numFmtId="2" fontId="57" fillId="0" borderId="93" xfId="1" applyNumberFormat="1" applyFont="1" applyBorder="1" applyAlignment="1" applyProtection="1">
      <alignment horizontal="right" vertical="center"/>
      <protection hidden="1"/>
    </xf>
    <xf numFmtId="2" fontId="63" fillId="0" borderId="90" xfId="1" applyNumberFormat="1" applyFont="1" applyBorder="1" applyAlignment="1" applyProtection="1">
      <alignment horizontal="right" vertical="center"/>
      <protection hidden="1"/>
    </xf>
    <xf numFmtId="2" fontId="67" fillId="0" borderId="90" xfId="1" applyNumberFormat="1" applyFont="1" applyBorder="1" applyAlignment="1" applyProtection="1">
      <alignment horizontal="right" vertical="center"/>
      <protection hidden="1"/>
    </xf>
    <xf numFmtId="2" fontId="68" fillId="0" borderId="24" xfId="1" applyNumberFormat="1" applyFont="1" applyBorder="1" applyAlignment="1" applyProtection="1">
      <alignment horizontal="center" vertical="center"/>
      <protection hidden="1"/>
    </xf>
    <xf numFmtId="2" fontId="68" fillId="14" borderId="24" xfId="1" applyNumberFormat="1" applyFont="1" applyFill="1" applyBorder="1" applyAlignment="1" applyProtection="1">
      <alignment horizontal="center" vertical="center"/>
      <protection hidden="1"/>
    </xf>
    <xf numFmtId="2" fontId="66" fillId="0" borderId="24" xfId="1" applyNumberFormat="1" applyFont="1" applyBorder="1" applyAlignment="1" applyProtection="1">
      <alignment horizontal="center" vertical="center"/>
      <protection hidden="1"/>
    </xf>
    <xf numFmtId="2" fontId="63" fillId="0" borderId="93" xfId="1" applyNumberFormat="1" applyFont="1" applyBorder="1" applyAlignment="1" applyProtection="1">
      <alignment horizontal="right" vertical="center"/>
      <protection hidden="1"/>
    </xf>
    <xf numFmtId="2" fontId="57" fillId="0" borderId="97" xfId="1" applyNumberFormat="1" applyFont="1" applyBorder="1" applyAlignment="1" applyProtection="1">
      <alignment horizontal="right" vertical="center"/>
      <protection hidden="1"/>
    </xf>
    <xf numFmtId="2" fontId="63" fillId="0" borderId="88" xfId="1" applyNumberFormat="1" applyFont="1" applyBorder="1" applyAlignment="1" applyProtection="1">
      <alignment horizontal="right" vertical="center"/>
      <protection hidden="1"/>
    </xf>
    <xf numFmtId="0" fontId="11" fillId="0" borderId="96" xfId="1" applyFont="1" applyBorder="1" applyAlignment="1" applyProtection="1">
      <alignment horizontal="center" vertical="center"/>
      <protection hidden="1"/>
    </xf>
    <xf numFmtId="0" fontId="17" fillId="0" borderId="80" xfId="1" applyFont="1" applyBorder="1" applyAlignment="1" applyProtection="1">
      <alignment horizontal="right" vertical="center"/>
      <protection hidden="1"/>
    </xf>
    <xf numFmtId="0" fontId="11" fillId="0" borderId="80" xfId="1" applyFont="1" applyBorder="1" applyAlignment="1" applyProtection="1">
      <alignment horizontal="right" vertical="center"/>
      <protection hidden="1"/>
    </xf>
    <xf numFmtId="0" fontId="52" fillId="0" borderId="24" xfId="1" applyFont="1" applyBorder="1" applyAlignment="1" applyProtection="1">
      <protection hidden="1"/>
    </xf>
    <xf numFmtId="2" fontId="39" fillId="0" borderId="90" xfId="1" applyNumberFormat="1" applyFont="1" applyBorder="1" applyAlignment="1" applyProtection="1">
      <alignment wrapText="1"/>
      <protection hidden="1"/>
    </xf>
    <xf numFmtId="0" fontId="50" fillId="0" borderId="0" xfId="0" applyFont="1" applyAlignment="1" applyProtection="1">
      <alignment horizontal="center" vertical="center"/>
      <protection hidden="1"/>
    </xf>
    <xf numFmtId="0" fontId="50" fillId="0" borderId="0" xfId="0" applyFont="1" applyProtection="1">
      <protection hidden="1"/>
    </xf>
    <xf numFmtId="0" fontId="73" fillId="0" borderId="0" xfId="0" applyFont="1" applyAlignment="1" applyProtection="1">
      <alignment horizontal="center" vertical="center"/>
      <protection hidden="1"/>
    </xf>
    <xf numFmtId="2" fontId="73" fillId="0" borderId="0" xfId="0" applyNumberFormat="1" applyFont="1" applyAlignment="1" applyProtection="1">
      <alignment horizontal="center" vertical="center"/>
      <protection hidden="1"/>
    </xf>
    <xf numFmtId="0" fontId="17" fillId="9" borderId="82" xfId="0" applyFont="1" applyFill="1" applyBorder="1" applyAlignment="1" applyProtection="1">
      <alignment horizontal="center" vertical="center" wrapText="1"/>
      <protection locked="0"/>
    </xf>
    <xf numFmtId="0" fontId="10" fillId="3" borderId="0" xfId="0" applyFont="1" applyFill="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51" fillId="0" borderId="86" xfId="1" applyFont="1" applyBorder="1" applyAlignment="1" applyProtection="1">
      <alignment horizontal="center" vertical="center"/>
      <protection hidden="1"/>
    </xf>
    <xf numFmtId="0" fontId="51" fillId="0" borderId="89" xfId="1" applyFont="1" applyBorder="1" applyAlignment="1" applyProtection="1">
      <alignment horizontal="center" vertical="center"/>
      <protection hidden="1"/>
    </xf>
    <xf numFmtId="0" fontId="51" fillId="0" borderId="91" xfId="1" applyFont="1" applyBorder="1" applyAlignment="1" applyProtection="1">
      <alignment horizontal="center" vertical="center"/>
      <protection hidden="1"/>
    </xf>
    <xf numFmtId="0" fontId="62" fillId="0" borderId="87"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60" fillId="0" borderId="24" xfId="1" applyFont="1" applyBorder="1" applyAlignment="1" applyProtection="1">
      <alignment horizontal="right" vertical="center"/>
      <protection hidden="1"/>
    </xf>
    <xf numFmtId="0" fontId="51" fillId="0" borderId="24" xfId="1" applyFont="1" applyBorder="1" applyAlignment="1" applyProtection="1">
      <alignment horizontal="center" vertical="center"/>
      <protection hidden="1"/>
    </xf>
    <xf numFmtId="0" fontId="0" fillId="0" borderId="0" xfId="0" applyAlignment="1" applyProtection="1">
      <alignment horizontal="center"/>
      <protection hidden="1"/>
    </xf>
    <xf numFmtId="0" fontId="0" fillId="0" borderId="0" xfId="0" applyAlignment="1" applyProtection="1">
      <alignment horizontal="center" vertical="center"/>
      <protection hidden="1"/>
    </xf>
    <xf numFmtId="0" fontId="0" fillId="0" borderId="0" xfId="0" applyAlignment="1" applyProtection="1">
      <alignment horizontal="right"/>
      <protection hidden="1"/>
    </xf>
    <xf numFmtId="0" fontId="27" fillId="0" borderId="0" xfId="0" applyFont="1" applyAlignment="1" applyProtection="1">
      <alignment horizontal="center" vertical="center"/>
      <protection hidden="1"/>
    </xf>
    <xf numFmtId="0" fontId="0" fillId="0" borderId="0" xfId="0" applyAlignment="1" applyProtection="1">
      <alignment horizontal="center" vertical="center"/>
      <protection hidden="1"/>
    </xf>
    <xf numFmtId="0" fontId="50" fillId="0" borderId="0" xfId="0" applyFont="1" applyAlignment="1" applyProtection="1">
      <alignment horizontal="center"/>
      <protection hidden="1"/>
    </xf>
    <xf numFmtId="2" fontId="0" fillId="0" borderId="0" xfId="0" applyNumberFormat="1" applyAlignment="1" applyProtection="1">
      <alignment horizontal="center" vertical="center"/>
      <protection hidden="1"/>
    </xf>
    <xf numFmtId="2" fontId="68" fillId="11" borderId="24" xfId="1" applyNumberFormat="1" applyFont="1" applyFill="1" applyBorder="1" applyAlignment="1" applyProtection="1">
      <alignment horizontal="center" vertical="center"/>
      <protection locked="0"/>
    </xf>
    <xf numFmtId="0" fontId="11" fillId="0" borderId="0" xfId="0" applyFont="1" applyBorder="1" applyAlignment="1" applyProtection="1">
      <alignment horizontal="center" vertical="center" wrapText="1"/>
      <protection hidden="1"/>
    </xf>
    <xf numFmtId="0" fontId="4" fillId="0" borderId="15" xfId="0" applyFont="1" applyBorder="1" applyAlignment="1" applyProtection="1">
      <alignment horizontal="center" vertical="center" textRotation="90" wrapText="1"/>
      <protection hidden="1"/>
    </xf>
    <xf numFmtId="0" fontId="17" fillId="0" borderId="33" xfId="0" applyFont="1" applyBorder="1" applyAlignment="1" applyProtection="1">
      <alignment horizontal="center" vertical="center" wrapText="1"/>
      <protection hidden="1"/>
    </xf>
    <xf numFmtId="1" fontId="19" fillId="0" borderId="12" xfId="0" applyNumberFormat="1" applyFont="1" applyBorder="1" applyAlignment="1" applyProtection="1">
      <alignment horizontal="center" vertical="center" wrapText="1"/>
      <protection hidden="1"/>
    </xf>
    <xf numFmtId="1" fontId="20" fillId="0" borderId="32" xfId="0" applyNumberFormat="1" applyFont="1" applyBorder="1" applyAlignment="1" applyProtection="1">
      <alignment horizontal="center" vertical="center" wrapText="1"/>
      <protection hidden="1"/>
    </xf>
    <xf numFmtId="1" fontId="20" fillId="0" borderId="0" xfId="0" applyNumberFormat="1" applyFont="1" applyBorder="1" applyAlignment="1" applyProtection="1">
      <alignment horizontal="center" vertical="center" wrapText="1"/>
      <protection hidden="1"/>
    </xf>
    <xf numFmtId="1" fontId="19" fillId="0" borderId="17" xfId="0" applyNumberFormat="1" applyFont="1" applyBorder="1" applyAlignment="1" applyProtection="1">
      <alignment horizontal="center" vertical="center" wrapText="1"/>
      <protection hidden="1"/>
    </xf>
    <xf numFmtId="1" fontId="20" fillId="0" borderId="67" xfId="0" applyNumberFormat="1" applyFont="1" applyBorder="1" applyAlignment="1" applyProtection="1">
      <alignment horizontal="center" vertical="center" wrapText="1"/>
      <protection hidden="1"/>
    </xf>
    <xf numFmtId="1" fontId="19" fillId="0" borderId="19" xfId="0" applyNumberFormat="1" applyFont="1" applyBorder="1" applyAlignment="1" applyProtection="1">
      <alignment horizontal="center" vertical="center" wrapText="1"/>
      <protection hidden="1"/>
    </xf>
    <xf numFmtId="1" fontId="20" fillId="0" borderId="35" xfId="0" applyNumberFormat="1" applyFont="1" applyBorder="1" applyAlignment="1" applyProtection="1">
      <alignment horizontal="center" vertical="center" wrapText="1"/>
      <protection hidden="1"/>
    </xf>
    <xf numFmtId="1" fontId="48" fillId="0" borderId="27" xfId="0" applyNumberFormat="1" applyFont="1" applyBorder="1" applyAlignment="1" applyProtection="1">
      <alignment horizontal="center" vertical="center" textRotation="90" wrapText="1"/>
      <protection hidden="1"/>
    </xf>
    <xf numFmtId="1" fontId="48" fillId="0" borderId="6" xfId="0" applyNumberFormat="1" applyFont="1" applyBorder="1" applyAlignment="1" applyProtection="1">
      <alignment horizontal="center" vertical="center" textRotation="90" wrapText="1"/>
      <protection hidden="1"/>
    </xf>
    <xf numFmtId="1" fontId="8" fillId="0" borderId="8" xfId="0" applyNumberFormat="1" applyFont="1" applyBorder="1" applyAlignment="1" applyProtection="1">
      <alignment horizontal="center" vertical="center" textRotation="90" wrapText="1"/>
      <protection hidden="1"/>
    </xf>
    <xf numFmtId="1" fontId="25" fillId="0" borderId="4" xfId="0" applyNumberFormat="1" applyFont="1" applyBorder="1" applyAlignment="1" applyProtection="1">
      <alignment horizontal="center" vertical="center" textRotation="90" wrapText="1"/>
      <protection hidden="1"/>
    </xf>
    <xf numFmtId="1" fontId="12" fillId="0" borderId="0" xfId="0" applyNumberFormat="1" applyFont="1" applyBorder="1" applyAlignment="1" applyProtection="1">
      <alignment horizontal="center" vertical="center" textRotation="90" wrapText="1"/>
      <protection hidden="1"/>
    </xf>
    <xf numFmtId="0" fontId="26" fillId="0" borderId="0" xfId="0" applyFont="1" applyBorder="1" applyAlignment="1" applyProtection="1">
      <alignment horizontal="center" wrapText="1"/>
      <protection hidden="1"/>
    </xf>
    <xf numFmtId="1" fontId="46" fillId="0" borderId="10" xfId="0" applyNumberFormat="1" applyFont="1" applyBorder="1" applyAlignment="1" applyProtection="1">
      <alignment horizontal="center" vertical="center" wrapText="1"/>
      <protection locked="0" hidden="1"/>
    </xf>
    <xf numFmtId="1" fontId="46" fillId="0" borderId="11" xfId="0" applyNumberFormat="1" applyFont="1" applyBorder="1" applyAlignment="1" applyProtection="1">
      <alignment horizontal="center" vertical="center" wrapText="1"/>
      <protection locked="0" hidden="1"/>
    </xf>
    <xf numFmtId="1" fontId="46" fillId="0" borderId="13" xfId="0" applyNumberFormat="1" applyFont="1" applyBorder="1" applyAlignment="1" applyProtection="1">
      <alignment horizontal="center" vertical="center" wrapText="1"/>
      <protection locked="0" hidden="1"/>
    </xf>
    <xf numFmtId="1" fontId="46" fillId="0" borderId="1" xfId="0" applyNumberFormat="1" applyFont="1" applyBorder="1" applyAlignment="1" applyProtection="1">
      <alignment horizontal="center" vertical="center" wrapText="1"/>
      <protection locked="0" hidden="1"/>
    </xf>
    <xf numFmtId="1" fontId="46" fillId="0" borderId="5" xfId="0" applyNumberFormat="1" applyFont="1" applyBorder="1" applyAlignment="1" applyProtection="1">
      <alignment horizontal="center" vertical="center" wrapText="1"/>
      <protection locked="0" hidden="1"/>
    </xf>
    <xf numFmtId="1" fontId="46" fillId="0" borderId="15" xfId="0" applyNumberFormat="1" applyFont="1" applyBorder="1" applyAlignment="1" applyProtection="1">
      <alignment horizontal="center" vertical="center" wrapText="1"/>
      <protection locked="0" hidden="1"/>
    </xf>
    <xf numFmtId="1" fontId="46" fillId="0" borderId="16" xfId="0" applyNumberFormat="1" applyFont="1" applyBorder="1" applyAlignment="1" applyProtection="1">
      <alignment horizontal="center" vertical="center" wrapText="1"/>
      <protection locked="0" hidden="1"/>
    </xf>
    <xf numFmtId="1" fontId="46" fillId="0" borderId="18" xfId="0" applyNumberFormat="1" applyFont="1" applyBorder="1" applyAlignment="1" applyProtection="1">
      <alignment horizontal="center" vertical="center" wrapText="1"/>
      <protection locked="0" hidden="1"/>
    </xf>
    <xf numFmtId="0" fontId="4" fillId="0" borderId="18" xfId="0" applyFont="1" applyBorder="1" applyAlignment="1" applyProtection="1">
      <alignment horizontal="center" vertical="center" textRotation="90" wrapText="1"/>
      <protection locked="0"/>
    </xf>
    <xf numFmtId="0" fontId="27" fillId="0" borderId="0" xfId="0" applyFont="1" applyProtection="1">
      <protection hidden="1"/>
    </xf>
    <xf numFmtId="0" fontId="34" fillId="11" borderId="71" xfId="0" applyFont="1" applyFill="1" applyBorder="1" applyAlignment="1" applyProtection="1">
      <alignment horizontal="center"/>
      <protection hidden="1"/>
    </xf>
    <xf numFmtId="0" fontId="34" fillId="12" borderId="13" xfId="0" applyFont="1" applyFill="1" applyBorder="1" applyAlignment="1" applyProtection="1">
      <alignment horizontal="center"/>
      <protection hidden="1"/>
    </xf>
    <xf numFmtId="0" fontId="34" fillId="11" borderId="13" xfId="0" applyFont="1" applyFill="1" applyBorder="1" applyAlignment="1" applyProtection="1">
      <alignment horizontal="center"/>
      <protection hidden="1"/>
    </xf>
    <xf numFmtId="2" fontId="4" fillId="11" borderId="64" xfId="0" applyNumberFormat="1" applyFont="1" applyFill="1" applyBorder="1" applyAlignment="1" applyProtection="1">
      <alignment horizontal="right" vertical="center"/>
      <protection hidden="1"/>
    </xf>
    <xf numFmtId="0" fontId="34" fillId="12" borderId="15" xfId="0" applyFont="1" applyFill="1" applyBorder="1" applyAlignment="1" applyProtection="1">
      <alignment horizontal="center"/>
      <protection hidden="1"/>
    </xf>
    <xf numFmtId="2" fontId="4" fillId="12" borderId="65" xfId="0" applyNumberFormat="1" applyFont="1" applyFill="1" applyBorder="1" applyAlignment="1" applyProtection="1">
      <alignment horizontal="right" vertical="center"/>
      <protection hidden="1"/>
    </xf>
    <xf numFmtId="0" fontId="55" fillId="12" borderId="71" xfId="0" applyFont="1" applyFill="1" applyBorder="1" applyAlignment="1" applyProtection="1">
      <alignment horizontal="center"/>
      <protection hidden="1"/>
    </xf>
    <xf numFmtId="0" fontId="21" fillId="12" borderId="22" xfId="0" applyFont="1" applyFill="1" applyBorder="1" applyAlignment="1" applyProtection="1">
      <alignment horizontal="center" vertical="center"/>
      <protection hidden="1"/>
    </xf>
    <xf numFmtId="0" fontId="55" fillId="11" borderId="13" xfId="0" applyFont="1" applyFill="1" applyBorder="1" applyAlignment="1" applyProtection="1">
      <alignment horizontal="center"/>
      <protection hidden="1"/>
    </xf>
    <xf numFmtId="0" fontId="21" fillId="11" borderId="28" xfId="0" applyFont="1" applyFill="1" applyBorder="1" applyAlignment="1" applyProtection="1">
      <alignment horizontal="center" vertical="center"/>
      <protection hidden="1"/>
    </xf>
    <xf numFmtId="0" fontId="55" fillId="12" borderId="13" xfId="0" applyFont="1" applyFill="1" applyBorder="1" applyAlignment="1" applyProtection="1">
      <alignment horizontal="center"/>
      <protection hidden="1"/>
    </xf>
    <xf numFmtId="0" fontId="21" fillId="12" borderId="28" xfId="0" applyFont="1" applyFill="1" applyBorder="1" applyAlignment="1" applyProtection="1">
      <alignment horizontal="center" vertical="center"/>
      <protection hidden="1"/>
    </xf>
    <xf numFmtId="0" fontId="55" fillId="11" borderId="15" xfId="0" applyFont="1" applyFill="1" applyBorder="1" applyAlignment="1" applyProtection="1">
      <alignment horizontal="center"/>
      <protection hidden="1"/>
    </xf>
    <xf numFmtId="0" fontId="21" fillId="11" borderId="56" xfId="0" applyFont="1" applyFill="1" applyBorder="1" applyAlignment="1" applyProtection="1">
      <alignment horizontal="center" vertical="center"/>
      <protection hidden="1"/>
    </xf>
    <xf numFmtId="167" fontId="42" fillId="4" borderId="12"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167" fontId="42" fillId="4" borderId="33" xfId="0" applyNumberFormat="1" applyFont="1" applyFill="1" applyBorder="1" applyAlignment="1" applyProtection="1">
      <alignment horizontal="center" vertical="center"/>
      <protection locked="0"/>
    </xf>
    <xf numFmtId="14" fontId="16" fillId="4" borderId="71" xfId="0" applyNumberFormat="1" applyFont="1" applyFill="1" applyBorder="1" applyAlignment="1" applyProtection="1">
      <alignment horizontal="center" vertical="center"/>
      <protection locked="0"/>
    </xf>
    <xf numFmtId="0" fontId="14" fillId="4" borderId="5" xfId="0" applyFont="1" applyFill="1" applyBorder="1" applyAlignment="1" applyProtection="1">
      <alignment horizontal="center" vertical="center" wrapText="1"/>
      <protection locked="0"/>
    </xf>
    <xf numFmtId="1" fontId="36" fillId="4" borderId="17" xfId="0" applyNumberFormat="1" applyFont="1" applyFill="1" applyBorder="1" applyAlignment="1" applyProtection="1">
      <alignment horizontal="center" vertical="center" wrapText="1"/>
      <protection locked="0"/>
    </xf>
    <xf numFmtId="14" fontId="16" fillId="4" borderId="13" xfId="0" applyNumberFormat="1" applyFont="1" applyFill="1" applyBorder="1" applyAlignment="1" applyProtection="1">
      <alignment horizontal="center" vertical="center"/>
      <protection locked="0"/>
    </xf>
    <xf numFmtId="0" fontId="14" fillId="4" borderId="1" xfId="0" applyFont="1" applyFill="1" applyBorder="1" applyAlignment="1" applyProtection="1">
      <alignment horizontal="center" wrapText="1"/>
      <protection locked="0"/>
    </xf>
    <xf numFmtId="1" fontId="36" fillId="4" borderId="14" xfId="0" applyNumberFormat="1" applyFont="1" applyFill="1" applyBorder="1" applyAlignment="1" applyProtection="1">
      <alignment horizontal="center" vertical="center" wrapText="1"/>
      <protection locked="0"/>
    </xf>
    <xf numFmtId="14" fontId="16" fillId="4" borderId="15" xfId="0" applyNumberFormat="1" applyFont="1" applyFill="1" applyBorder="1" applyAlignment="1" applyProtection="1">
      <alignment horizontal="center" vertical="center"/>
      <protection locked="0"/>
    </xf>
    <xf numFmtId="0" fontId="14" fillId="4" borderId="16" xfId="0" applyFont="1" applyFill="1" applyBorder="1" applyAlignment="1" applyProtection="1">
      <alignment horizontal="center" wrapText="1"/>
      <protection locked="0"/>
    </xf>
    <xf numFmtId="1" fontId="36" fillId="4" borderId="33" xfId="0" applyNumberFormat="1" applyFont="1" applyFill="1" applyBorder="1" applyAlignment="1" applyProtection="1">
      <alignment horizontal="center" vertical="center" wrapText="1"/>
      <protection locked="0"/>
    </xf>
    <xf numFmtId="0" fontId="16" fillId="9" borderId="84" xfId="0" applyFont="1" applyFill="1" applyBorder="1" applyAlignment="1" applyProtection="1">
      <alignment horizontal="center" vertical="center"/>
      <protection locked="0"/>
    </xf>
    <xf numFmtId="0" fontId="77" fillId="0" borderId="0" xfId="0" applyFont="1" applyProtection="1">
      <protection hidden="1"/>
    </xf>
    <xf numFmtId="0" fontId="0" fillId="19" borderId="0" xfId="0" applyFill="1" applyAlignment="1" applyProtection="1">
      <alignment horizontal="center" vertical="center" wrapText="1"/>
      <protection hidden="1"/>
    </xf>
    <xf numFmtId="0" fontId="0" fillId="19" borderId="0" xfId="0" applyFill="1" applyAlignment="1" applyProtection="1">
      <alignment horizontal="left" vertical="center" wrapText="1"/>
      <protection hidden="1"/>
    </xf>
    <xf numFmtId="0" fontId="0" fillId="19" borderId="0" xfId="0" applyFill="1" applyAlignment="1" applyProtection="1">
      <alignment wrapText="1"/>
      <protection hidden="1"/>
    </xf>
    <xf numFmtId="0" fontId="8" fillId="4" borderId="0" xfId="0" applyFont="1" applyFill="1" applyBorder="1" applyAlignment="1" applyProtection="1">
      <alignment horizontal="center" wrapText="1"/>
      <protection hidden="1"/>
    </xf>
    <xf numFmtId="0" fontId="8" fillId="4" borderId="0" xfId="0" applyFont="1" applyFill="1" applyBorder="1" applyAlignment="1" applyProtection="1">
      <alignment horizontal="left" wrapText="1"/>
      <protection hidden="1"/>
    </xf>
    <xf numFmtId="0" fontId="0" fillId="0" borderId="0" xfId="0" applyAlignment="1" applyProtection="1">
      <alignment horizontal="center"/>
      <protection hidden="1"/>
    </xf>
    <xf numFmtId="165" fontId="4" fillId="0" borderId="16" xfId="0" applyNumberFormat="1" applyFont="1" applyBorder="1" applyAlignment="1" applyProtection="1">
      <alignment horizontal="center" vertical="center" textRotation="90" wrapText="1"/>
      <protection hidden="1"/>
    </xf>
    <xf numFmtId="0" fontId="4" fillId="0" borderId="18" xfId="0" applyFont="1" applyBorder="1" applyAlignment="1" applyProtection="1">
      <alignment horizontal="center" vertical="center" textRotation="90" wrapText="1"/>
      <protection hidden="1"/>
    </xf>
    <xf numFmtId="0" fontId="46" fillId="0" borderId="22" xfId="0" applyFont="1" applyBorder="1" applyAlignment="1" applyProtection="1">
      <alignment horizontal="center" vertical="center" wrapText="1"/>
      <protection locked="0" hidden="1"/>
    </xf>
    <xf numFmtId="14" fontId="46" fillId="0" borderId="20" xfId="0" applyNumberFormat="1" applyFont="1" applyBorder="1" applyAlignment="1" applyProtection="1">
      <alignment horizontal="center" vertical="center" wrapText="1"/>
      <protection locked="0" hidden="1"/>
    </xf>
    <xf numFmtId="0" fontId="46" fillId="0" borderId="28" xfId="0" applyFont="1" applyBorder="1" applyAlignment="1" applyProtection="1">
      <alignment horizontal="center" vertical="center" wrapText="1"/>
      <protection locked="0" hidden="1"/>
    </xf>
    <xf numFmtId="14" fontId="46" fillId="0" borderId="64" xfId="0" applyNumberFormat="1" applyFont="1" applyBorder="1" applyAlignment="1" applyProtection="1">
      <alignment horizontal="center" vertical="center" wrapText="1"/>
      <protection locked="0" hidden="1"/>
    </xf>
    <xf numFmtId="0" fontId="46" fillId="0" borderId="56" xfId="0" applyFont="1" applyBorder="1" applyAlignment="1" applyProtection="1">
      <alignment horizontal="center" vertical="center" wrapText="1"/>
      <protection locked="0" hidden="1"/>
    </xf>
    <xf numFmtId="14" fontId="46" fillId="0" borderId="65" xfId="0" applyNumberFormat="1" applyFont="1" applyBorder="1" applyAlignment="1" applyProtection="1">
      <alignment horizontal="center" vertical="center" wrapText="1"/>
      <protection locked="0" hidden="1"/>
    </xf>
    <xf numFmtId="1" fontId="46" fillId="0" borderId="10" xfId="0" applyNumberFormat="1" applyFont="1" applyBorder="1" applyAlignment="1" applyProtection="1">
      <alignment horizontal="center" vertical="center" wrapText="1"/>
      <protection locked="0"/>
    </xf>
    <xf numFmtId="1" fontId="46" fillId="0" borderId="11" xfId="0" applyNumberFormat="1" applyFont="1" applyBorder="1" applyAlignment="1" applyProtection="1">
      <alignment horizontal="center" vertical="center" wrapText="1"/>
      <protection locked="0"/>
    </xf>
    <xf numFmtId="1" fontId="46" fillId="0" borderId="13" xfId="0" applyNumberFormat="1" applyFont="1" applyBorder="1" applyAlignment="1" applyProtection="1">
      <alignment horizontal="center" vertical="center" wrapText="1"/>
      <protection locked="0"/>
    </xf>
    <xf numFmtId="1" fontId="46" fillId="0" borderId="1" xfId="0" applyNumberFormat="1" applyFont="1" applyBorder="1" applyAlignment="1" applyProtection="1">
      <alignment horizontal="center" vertical="center" wrapText="1"/>
      <protection locked="0"/>
    </xf>
    <xf numFmtId="1" fontId="46" fillId="0" borderId="5" xfId="0" applyNumberFormat="1" applyFont="1" applyBorder="1" applyAlignment="1" applyProtection="1">
      <alignment horizontal="center" vertical="center" wrapText="1"/>
      <protection locked="0"/>
    </xf>
    <xf numFmtId="1" fontId="49" fillId="0" borderId="5" xfId="0" applyNumberFormat="1" applyFont="1" applyBorder="1" applyAlignment="1" applyProtection="1">
      <alignment horizontal="center" vertical="center" wrapText="1"/>
      <protection locked="0"/>
    </xf>
    <xf numFmtId="1" fontId="46" fillId="0" borderId="15" xfId="0" applyNumberFormat="1" applyFont="1" applyBorder="1" applyAlignment="1" applyProtection="1">
      <alignment horizontal="center" vertical="center" wrapText="1"/>
      <protection locked="0"/>
    </xf>
    <xf numFmtId="1" fontId="46" fillId="0" borderId="16" xfId="0" applyNumberFormat="1" applyFont="1" applyBorder="1" applyAlignment="1" applyProtection="1">
      <alignment horizontal="center" vertical="center" wrapText="1"/>
      <protection locked="0"/>
    </xf>
    <xf numFmtId="1" fontId="46" fillId="0" borderId="18" xfId="0" applyNumberFormat="1" applyFont="1" applyBorder="1" applyAlignment="1" applyProtection="1">
      <alignment horizontal="center" vertical="center" wrapText="1"/>
      <protection locked="0"/>
    </xf>
    <xf numFmtId="0" fontId="13" fillId="4" borderId="0" xfId="0" applyFont="1" applyFill="1" applyBorder="1" applyAlignment="1" applyProtection="1">
      <alignment horizontal="center" vertical="center" wrapText="1"/>
      <protection locked="0"/>
    </xf>
    <xf numFmtId="6" fontId="11" fillId="9" borderId="84" xfId="0" applyNumberFormat="1" applyFont="1" applyFill="1" applyBorder="1" applyAlignment="1" applyProtection="1">
      <alignment horizontal="center" vertical="center"/>
      <protection locked="0" hidden="1"/>
    </xf>
    <xf numFmtId="6" fontId="11" fillId="9" borderId="44" xfId="0" applyNumberFormat="1" applyFont="1" applyFill="1" applyBorder="1" applyAlignment="1" applyProtection="1">
      <alignment horizontal="center" vertical="center"/>
      <protection locked="0" hidden="1"/>
    </xf>
    <xf numFmtId="0" fontId="28" fillId="13" borderId="18" xfId="0" applyFont="1" applyFill="1" applyBorder="1" applyAlignment="1" applyProtection="1">
      <alignment horizontal="center" vertical="center" wrapText="1"/>
      <protection locked="0" hidden="1"/>
    </xf>
    <xf numFmtId="17" fontId="21" fillId="0" borderId="32" xfId="0" applyNumberFormat="1" applyFont="1" applyBorder="1" applyAlignment="1" applyProtection="1">
      <alignment horizontal="center" vertical="center" wrapText="1"/>
      <protection locked="0"/>
    </xf>
    <xf numFmtId="17" fontId="21" fillId="0" borderId="61" xfId="0" applyNumberFormat="1" applyFont="1" applyBorder="1" applyAlignment="1" applyProtection="1">
      <alignment horizontal="center" vertical="center" wrapText="1"/>
      <protection locked="0"/>
    </xf>
    <xf numFmtId="0" fontId="0" fillId="0" borderId="0" xfId="0" applyAlignment="1" applyProtection="1">
      <alignment horizontal="center" vertical="center"/>
      <protection hidden="1"/>
    </xf>
    <xf numFmtId="9" fontId="11" fillId="9" borderId="44" xfId="0" applyNumberFormat="1" applyFont="1" applyFill="1" applyBorder="1" applyAlignment="1" applyProtection="1">
      <alignment horizontal="center" vertical="center"/>
      <protection locked="0"/>
    </xf>
    <xf numFmtId="0" fontId="77" fillId="3" borderId="0" xfId="0" applyFont="1" applyFill="1" applyAlignment="1" applyProtection="1">
      <alignment horizontal="center"/>
      <protection hidden="1"/>
    </xf>
    <xf numFmtId="0" fontId="0" fillId="19" borderId="0" xfId="0" applyFill="1" applyAlignment="1" applyProtection="1">
      <alignment horizontal="center"/>
      <protection hidden="1"/>
    </xf>
    <xf numFmtId="0" fontId="0" fillId="19" borderId="0" xfId="0" applyFill="1" applyAlignment="1" applyProtection="1">
      <protection hidden="1"/>
    </xf>
    <xf numFmtId="0" fontId="74" fillId="19" borderId="0" xfId="0" applyFont="1" applyFill="1" applyAlignment="1" applyProtection="1">
      <alignment horizontal="center" vertical="center" wrapText="1"/>
      <protection hidden="1"/>
    </xf>
    <xf numFmtId="0" fontId="81" fillId="22" borderId="116" xfId="5" applyFont="1" applyFill="1" applyBorder="1" applyAlignment="1" applyProtection="1">
      <alignment horizontal="center" vertical="center" wrapText="1"/>
      <protection locked="0" hidden="1"/>
    </xf>
    <xf numFmtId="0" fontId="80" fillId="22" borderId="116" xfId="5" applyFont="1" applyFill="1" applyBorder="1" applyAlignment="1" applyProtection="1">
      <alignment horizontal="center" vertical="center" wrapText="1"/>
      <protection locked="0" hidden="1"/>
    </xf>
    <xf numFmtId="0" fontId="91" fillId="22" borderId="116" xfId="5" applyFont="1" applyFill="1" applyBorder="1" applyAlignment="1" applyProtection="1">
      <alignment horizontal="center" vertical="center" wrapText="1"/>
      <protection locked="0" hidden="1"/>
    </xf>
    <xf numFmtId="0" fontId="88" fillId="23" borderId="114" xfId="0" applyFont="1" applyFill="1" applyBorder="1" applyAlignment="1" applyProtection="1">
      <alignment horizontal="center" vertical="center" wrapText="1"/>
      <protection hidden="1"/>
    </xf>
    <xf numFmtId="0" fontId="92" fillId="23" borderId="115" xfId="0" applyFont="1" applyFill="1" applyBorder="1" applyAlignment="1" applyProtection="1">
      <alignment horizontal="center" vertical="center" wrapText="1"/>
      <protection hidden="1"/>
    </xf>
    <xf numFmtId="0" fontId="97" fillId="21" borderId="113" xfId="0" applyFont="1" applyFill="1" applyBorder="1" applyAlignment="1" applyProtection="1">
      <alignment horizontal="center" vertical="center" wrapText="1"/>
      <protection hidden="1"/>
    </xf>
    <xf numFmtId="0" fontId="98" fillId="26" borderId="112" xfId="0" applyNumberFormat="1" applyFont="1" applyFill="1" applyBorder="1" applyAlignment="1" applyProtection="1">
      <alignment horizontal="center" vertical="center"/>
      <protection hidden="1"/>
    </xf>
    <xf numFmtId="0" fontId="62" fillId="0" borderId="87" xfId="1" applyFont="1" applyBorder="1" applyAlignment="1" applyProtection="1">
      <alignment horizontal="center" vertical="center" wrapText="1"/>
      <protection hidden="1"/>
    </xf>
    <xf numFmtId="0" fontId="100" fillId="0" borderId="87" xfId="1" applyFont="1" applyBorder="1" applyAlignment="1" applyProtection="1">
      <alignment horizontal="center" vertical="center" wrapText="1"/>
      <protection hidden="1"/>
    </xf>
    <xf numFmtId="0" fontId="64" fillId="4" borderId="0" xfId="1" applyFont="1" applyFill="1" applyBorder="1" applyAlignment="1" applyProtection="1">
      <alignment horizontal="center" vertical="center"/>
      <protection hidden="1"/>
    </xf>
    <xf numFmtId="0" fontId="0" fillId="0" borderId="0" xfId="0" applyAlignment="1" applyProtection="1">
      <alignment horizontal="center" vertical="center"/>
      <protection hidden="1"/>
    </xf>
    <xf numFmtId="0" fontId="0" fillId="0" borderId="0" xfId="0" applyAlignment="1" applyProtection="1">
      <alignment horizontal="center"/>
      <protection hidden="1"/>
    </xf>
    <xf numFmtId="1" fontId="73" fillId="0" borderId="0" xfId="0" applyNumberFormat="1" applyFont="1" applyAlignment="1" applyProtection="1">
      <alignment horizontal="center" vertical="center"/>
      <protection hidden="1"/>
    </xf>
    <xf numFmtId="1" fontId="93" fillId="0" borderId="0" xfId="0" applyNumberFormat="1" applyFont="1" applyAlignment="1" applyProtection="1">
      <alignment horizontal="center" vertical="center"/>
      <protection hidden="1"/>
    </xf>
    <xf numFmtId="2" fontId="60" fillId="0" borderId="90" xfId="1" applyNumberFormat="1" applyFont="1" applyBorder="1" applyAlignment="1" applyProtection="1">
      <alignment vertical="center"/>
      <protection hidden="1"/>
    </xf>
    <xf numFmtId="0" fontId="8" fillId="29" borderId="82" xfId="0" applyFont="1" applyFill="1" applyBorder="1" applyAlignment="1" applyProtection="1">
      <alignment horizontal="center" vertical="center" wrapText="1"/>
      <protection hidden="1"/>
    </xf>
    <xf numFmtId="0" fontId="19" fillId="29" borderId="79" xfId="0" applyFont="1" applyFill="1" applyBorder="1" applyAlignment="1" applyProtection="1">
      <alignment horizontal="center" vertical="center" wrapText="1"/>
      <protection hidden="1"/>
    </xf>
    <xf numFmtId="0" fontId="22" fillId="29" borderId="79" xfId="0" applyFont="1" applyFill="1" applyBorder="1" applyAlignment="1" applyProtection="1">
      <alignment horizontal="center" vertical="center" wrapText="1"/>
      <protection hidden="1"/>
    </xf>
    <xf numFmtId="0" fontId="7" fillId="29" borderId="79" xfId="0" applyFont="1" applyFill="1" applyBorder="1" applyAlignment="1" applyProtection="1">
      <alignment horizontal="center" vertical="center" wrapText="1"/>
      <protection hidden="1"/>
    </xf>
    <xf numFmtId="0" fontId="33" fillId="29" borderId="4" xfId="0" applyFont="1" applyFill="1" applyBorder="1" applyAlignment="1" applyProtection="1">
      <alignment horizontal="center" vertical="center" wrapText="1"/>
      <protection hidden="1"/>
    </xf>
    <xf numFmtId="0" fontId="20" fillId="29" borderId="53" xfId="0" applyFont="1" applyFill="1" applyBorder="1" applyAlignment="1" applyProtection="1">
      <alignment horizontal="center" vertical="center" wrapText="1"/>
      <protection hidden="1"/>
    </xf>
    <xf numFmtId="0" fontId="22" fillId="29" borderId="45" xfId="0" applyFont="1" applyFill="1" applyBorder="1" applyAlignment="1" applyProtection="1">
      <alignment horizontal="center" vertical="center" wrapText="1"/>
      <protection locked="0"/>
    </xf>
    <xf numFmtId="0" fontId="22" fillId="29" borderId="74" xfId="0" applyFont="1" applyFill="1" applyBorder="1" applyAlignment="1" applyProtection="1">
      <alignment horizontal="center" vertical="center"/>
      <protection hidden="1"/>
    </xf>
    <xf numFmtId="0" fontId="21" fillId="29" borderId="74" xfId="0" applyFont="1" applyFill="1" applyBorder="1" applyAlignment="1" applyProtection="1">
      <alignment horizontal="center" vertical="center"/>
      <protection hidden="1"/>
    </xf>
    <xf numFmtId="17" fontId="21" fillId="29" borderId="48" xfId="0" applyNumberFormat="1" applyFont="1" applyFill="1" applyBorder="1" applyAlignment="1" applyProtection="1">
      <alignment horizontal="center" vertical="center"/>
      <protection hidden="1"/>
    </xf>
    <xf numFmtId="17" fontId="21" fillId="29" borderId="74" xfId="0" applyNumberFormat="1" applyFont="1" applyFill="1" applyBorder="1" applyAlignment="1" applyProtection="1">
      <alignment horizontal="center" vertical="center"/>
      <protection hidden="1"/>
    </xf>
    <xf numFmtId="0" fontId="6" fillId="28" borderId="18" xfId="0" applyFont="1" applyFill="1" applyBorder="1" applyAlignment="1" applyProtection="1">
      <alignment horizontal="center" vertical="center" wrapText="1"/>
      <protection hidden="1"/>
    </xf>
    <xf numFmtId="0" fontId="7" fillId="28" borderId="18" xfId="0" applyFont="1" applyFill="1" applyBorder="1" applyAlignment="1" applyProtection="1">
      <alignment horizontal="center" vertical="center" wrapText="1"/>
      <protection hidden="1"/>
    </xf>
    <xf numFmtId="1" fontId="6" fillId="28" borderId="18" xfId="0" applyNumberFormat="1" applyFont="1" applyFill="1" applyBorder="1" applyAlignment="1" applyProtection="1">
      <alignment horizontal="center" vertical="center" wrapText="1"/>
      <protection hidden="1"/>
    </xf>
    <xf numFmtId="1" fontId="7" fillId="28" borderId="18" xfId="0" applyNumberFormat="1" applyFont="1" applyFill="1" applyBorder="1" applyAlignment="1" applyProtection="1">
      <alignment horizontal="center" vertical="center" wrapText="1"/>
      <protection hidden="1"/>
    </xf>
    <xf numFmtId="0" fontId="28" fillId="28" borderId="18" xfId="0" applyFont="1" applyFill="1" applyBorder="1" applyAlignment="1" applyProtection="1">
      <alignment horizontal="center" vertical="center" wrapText="1"/>
      <protection hidden="1"/>
    </xf>
    <xf numFmtId="1" fontId="33" fillId="28" borderId="18" xfId="0" applyNumberFormat="1" applyFont="1" applyFill="1" applyBorder="1" applyAlignment="1" applyProtection="1">
      <alignment horizontal="center" vertical="center" textRotation="90" wrapText="1"/>
      <protection hidden="1"/>
    </xf>
    <xf numFmtId="0" fontId="30" fillId="28" borderId="19" xfId="0" applyFont="1" applyFill="1" applyBorder="1" applyAlignment="1" applyProtection="1">
      <alignment horizontal="center" vertical="center" wrapText="1"/>
      <protection hidden="1"/>
    </xf>
    <xf numFmtId="0" fontId="11" fillId="28" borderId="60" xfId="0" applyFont="1" applyFill="1" applyBorder="1" applyAlignment="1" applyProtection="1">
      <alignment horizontal="center" vertical="center" wrapText="1"/>
      <protection hidden="1"/>
    </xf>
    <xf numFmtId="0" fontId="28" fillId="28" borderId="72" xfId="0" applyFont="1" applyFill="1" applyBorder="1" applyAlignment="1" applyProtection="1">
      <alignment horizontal="center" vertical="center" wrapText="1"/>
      <protection hidden="1"/>
    </xf>
    <xf numFmtId="0" fontId="6" fillId="27" borderId="7" xfId="0" applyFont="1" applyFill="1" applyBorder="1" applyAlignment="1" applyProtection="1">
      <alignment horizontal="center" vertical="center" wrapText="1"/>
      <protection hidden="1"/>
    </xf>
    <xf numFmtId="9" fontId="6" fillId="27" borderId="7" xfId="0" applyNumberFormat="1" applyFont="1" applyFill="1" applyBorder="1" applyAlignment="1" applyProtection="1">
      <alignment horizontal="center" vertical="center" wrapText="1"/>
      <protection hidden="1"/>
    </xf>
    <xf numFmtId="0" fontId="7" fillId="27" borderId="8" xfId="0" applyFont="1" applyFill="1" applyBorder="1" applyAlignment="1" applyProtection="1">
      <alignment horizontal="center" vertical="center" wrapText="1"/>
      <protection hidden="1"/>
    </xf>
    <xf numFmtId="0" fontId="22" fillId="27" borderId="27" xfId="0" applyFont="1" applyFill="1" applyBorder="1" applyAlignment="1" applyProtection="1">
      <alignment horizontal="center" vertical="center" wrapText="1"/>
      <protection hidden="1"/>
    </xf>
    <xf numFmtId="0" fontId="22" fillId="27" borderId="7" xfId="0" applyFont="1" applyFill="1" applyBorder="1" applyAlignment="1" applyProtection="1">
      <alignment horizontal="center" vertical="center" wrapText="1"/>
      <protection hidden="1"/>
    </xf>
    <xf numFmtId="0" fontId="33" fillId="27" borderId="7" xfId="0" applyFont="1" applyFill="1" applyBorder="1" applyAlignment="1" applyProtection="1">
      <alignment horizontal="center" vertical="center" wrapText="1"/>
      <protection hidden="1"/>
    </xf>
    <xf numFmtId="0" fontId="20" fillId="27" borderId="7" xfId="0" applyFont="1" applyFill="1" applyBorder="1" applyAlignment="1" applyProtection="1">
      <alignment horizontal="center" vertical="center" wrapText="1"/>
      <protection hidden="1"/>
    </xf>
    <xf numFmtId="0" fontId="6" fillId="27" borderId="8" xfId="0" applyFont="1" applyFill="1" applyBorder="1" applyAlignment="1" applyProtection="1">
      <alignment horizontal="center" vertical="center" wrapText="1"/>
      <protection hidden="1"/>
    </xf>
    <xf numFmtId="0" fontId="19" fillId="27" borderId="6" xfId="0" applyFont="1" applyFill="1" applyBorder="1" applyAlignment="1" applyProtection="1">
      <alignment horizontal="center" vertical="center" wrapText="1"/>
      <protection hidden="1"/>
    </xf>
    <xf numFmtId="0" fontId="8" fillId="27" borderId="6" xfId="0" applyFont="1" applyFill="1" applyBorder="1" applyAlignment="1" applyProtection="1">
      <alignment horizontal="center" vertical="center" wrapText="1"/>
      <protection hidden="1"/>
    </xf>
    <xf numFmtId="0" fontId="8" fillId="27" borderId="7" xfId="0" applyFont="1" applyFill="1" applyBorder="1" applyAlignment="1" applyProtection="1">
      <alignment horizontal="center" vertical="center" wrapText="1"/>
      <protection hidden="1"/>
    </xf>
    <xf numFmtId="0" fontId="8" fillId="27" borderId="8" xfId="0" applyFont="1" applyFill="1" applyBorder="1" applyAlignment="1" applyProtection="1">
      <alignment horizontal="center" vertical="center" wrapText="1"/>
      <protection hidden="1"/>
    </xf>
    <xf numFmtId="0" fontId="11" fillId="27" borderId="6"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0" fontId="11" fillId="27" borderId="55" xfId="0" applyFont="1" applyFill="1" applyBorder="1" applyAlignment="1" applyProtection="1">
      <alignment horizontal="center" vertical="center" wrapText="1"/>
      <protection hidden="1"/>
    </xf>
    <xf numFmtId="0" fontId="76" fillId="13" borderId="0" xfId="0" applyFont="1" applyFill="1" applyBorder="1" applyAlignment="1" applyProtection="1">
      <alignment vertical="center" wrapText="1"/>
      <protection hidden="1"/>
    </xf>
    <xf numFmtId="0" fontId="8" fillId="4" borderId="0" xfId="0" applyFont="1" applyFill="1" applyBorder="1" applyAlignment="1" applyProtection="1">
      <alignment vertical="center" wrapText="1"/>
      <protection hidden="1"/>
    </xf>
    <xf numFmtId="0" fontId="25" fillId="4" borderId="0" xfId="0" applyFont="1" applyFill="1" applyBorder="1" applyAlignment="1" applyProtection="1">
      <alignment vertical="center"/>
      <protection hidden="1"/>
    </xf>
    <xf numFmtId="0" fontId="74" fillId="4" borderId="0" xfId="0" applyFont="1" applyFill="1" applyBorder="1" applyAlignment="1" applyProtection="1">
      <alignment vertical="center"/>
      <protection hidden="1"/>
    </xf>
    <xf numFmtId="0" fontId="101" fillId="4" borderId="0" xfId="1" applyFont="1" applyFill="1" applyBorder="1" applyAlignment="1" applyProtection="1">
      <alignment horizontal="center" vertical="center"/>
      <protection hidden="1"/>
    </xf>
    <xf numFmtId="0" fontId="25" fillId="3" borderId="132" xfId="0" applyFont="1" applyFill="1" applyBorder="1" applyAlignment="1" applyProtection="1">
      <alignment horizontal="center" vertical="center"/>
      <protection hidden="1"/>
    </xf>
    <xf numFmtId="0" fontId="25" fillId="3" borderId="133" xfId="0" applyFont="1" applyFill="1" applyBorder="1" applyAlignment="1" applyProtection="1">
      <alignment horizontal="center" vertical="center"/>
      <protection hidden="1"/>
    </xf>
    <xf numFmtId="0" fontId="64" fillId="4" borderId="0" xfId="1" applyFont="1" applyFill="1" applyBorder="1" applyAlignment="1" applyProtection="1">
      <alignment horizontal="center" vertical="center"/>
      <protection hidden="1"/>
    </xf>
    <xf numFmtId="0" fontId="105" fillId="0" borderId="24" xfId="1" applyFont="1" applyBorder="1" applyAlignment="1" applyProtection="1">
      <alignment vertical="center"/>
      <protection hidden="1"/>
    </xf>
    <xf numFmtId="2" fontId="103" fillId="0" borderId="90" xfId="1" applyNumberFormat="1" applyFont="1" applyBorder="1" applyAlignment="1" applyProtection="1">
      <alignment horizontal="right" vertical="center"/>
      <protection hidden="1"/>
    </xf>
    <xf numFmtId="0" fontId="64" fillId="4" borderId="0" xfId="1" applyFont="1" applyFill="1" applyBorder="1" applyAlignment="1" applyProtection="1">
      <alignment horizontal="center" vertical="center"/>
      <protection hidden="1"/>
    </xf>
    <xf numFmtId="0" fontId="0" fillId="19" borderId="0" xfId="0" applyFill="1" applyAlignment="1" applyProtection="1">
      <alignment horizontal="center"/>
      <protection hidden="1"/>
    </xf>
    <xf numFmtId="0" fontId="96" fillId="24" borderId="0" xfId="0" applyFont="1" applyFill="1" applyAlignment="1" applyProtection="1">
      <alignment horizontal="center" vertical="center" wrapText="1"/>
      <protection hidden="1"/>
    </xf>
    <xf numFmtId="0" fontId="77" fillId="3" borderId="0" xfId="0" applyFont="1" applyFill="1" applyAlignment="1" applyProtection="1">
      <alignment horizontal="center"/>
      <protection hidden="1"/>
    </xf>
    <xf numFmtId="0" fontId="77" fillId="19" borderId="0" xfId="0" applyFont="1" applyFill="1" applyAlignment="1" applyProtection="1">
      <alignment horizontal="center"/>
      <protection hidden="1"/>
    </xf>
    <xf numFmtId="0" fontId="79" fillId="22" borderId="110" xfId="5" applyFont="1" applyFill="1" applyBorder="1" applyAlignment="1" applyProtection="1">
      <alignment horizontal="center" vertical="center"/>
      <protection locked="0" hidden="1"/>
    </xf>
    <xf numFmtId="0" fontId="79" fillId="22" borderId="111" xfId="5" applyFont="1" applyFill="1" applyBorder="1" applyAlignment="1" applyProtection="1">
      <alignment horizontal="center" vertical="center"/>
      <protection locked="0" hidden="1"/>
    </xf>
    <xf numFmtId="0" fontId="99" fillId="22" borderId="0" xfId="5" applyFont="1" applyFill="1" applyAlignment="1" applyProtection="1">
      <alignment horizontal="center" vertical="center"/>
      <protection locked="0" hidden="1"/>
    </xf>
    <xf numFmtId="0" fontId="94" fillId="20" borderId="120" xfId="0" applyFont="1" applyFill="1" applyBorder="1" applyAlignment="1" applyProtection="1">
      <alignment horizontal="left" vertical="justify" wrapText="1"/>
      <protection hidden="1"/>
    </xf>
    <xf numFmtId="0" fontId="47" fillId="0" borderId="114" xfId="0" applyFont="1" applyBorder="1"/>
    <xf numFmtId="0" fontId="47" fillId="0" borderId="121" xfId="0" applyFont="1" applyBorder="1"/>
    <xf numFmtId="0" fontId="87" fillId="23" borderId="0" xfId="0" applyFont="1" applyFill="1" applyBorder="1" applyAlignment="1" applyProtection="1">
      <alignment horizontal="center" wrapText="1"/>
      <protection hidden="1"/>
    </xf>
    <xf numFmtId="0" fontId="10" fillId="25" borderId="124" xfId="0" applyFont="1" applyFill="1" applyBorder="1" applyAlignment="1" applyProtection="1">
      <alignment horizontal="center" vertical="center"/>
      <protection hidden="1"/>
    </xf>
    <xf numFmtId="0" fontId="10" fillId="25" borderId="9" xfId="0" applyFont="1" applyFill="1" applyBorder="1" applyAlignment="1" applyProtection="1">
      <alignment horizontal="center" vertical="center"/>
      <protection hidden="1"/>
    </xf>
    <xf numFmtId="0" fontId="8" fillId="29" borderId="3" xfId="0" applyFont="1" applyFill="1" applyBorder="1" applyAlignment="1" applyProtection="1">
      <alignment horizontal="center" vertical="center" wrapText="1"/>
      <protection hidden="1"/>
    </xf>
    <xf numFmtId="0" fontId="8" fillId="29" borderId="83" xfId="0" applyFont="1" applyFill="1" applyBorder="1" applyAlignment="1" applyProtection="1">
      <alignment horizontal="center" vertical="center" wrapText="1"/>
      <protection hidden="1"/>
    </xf>
    <xf numFmtId="0" fontId="9" fillId="9" borderId="3" xfId="0" applyFont="1" applyFill="1" applyBorder="1" applyAlignment="1" applyProtection="1">
      <alignment horizontal="center" vertical="center" wrapText="1"/>
      <protection locked="0"/>
    </xf>
    <xf numFmtId="0" fontId="9" fillId="9" borderId="83" xfId="0" applyFont="1" applyFill="1" applyBorder="1" applyAlignment="1" applyProtection="1">
      <alignment horizontal="center" vertical="center" wrapText="1"/>
      <protection locked="0"/>
    </xf>
    <xf numFmtId="0" fontId="10" fillId="25" borderId="46" xfId="0" applyFont="1" applyFill="1" applyBorder="1" applyAlignment="1" applyProtection="1">
      <alignment horizontal="center" vertical="center"/>
      <protection hidden="1"/>
    </xf>
    <xf numFmtId="0" fontId="10" fillId="25" borderId="0" xfId="0" applyFont="1" applyFill="1" applyBorder="1" applyAlignment="1" applyProtection="1">
      <alignment horizontal="center" vertical="center"/>
      <protection hidden="1"/>
    </xf>
    <xf numFmtId="0" fontId="10" fillId="25" borderId="47" xfId="0" applyFont="1" applyFill="1" applyBorder="1" applyAlignment="1" applyProtection="1">
      <alignment horizontal="center" vertical="center"/>
      <protection hidden="1"/>
    </xf>
    <xf numFmtId="0" fontId="10" fillId="25" borderId="2" xfId="0" applyFont="1" applyFill="1" applyBorder="1" applyAlignment="1" applyProtection="1">
      <alignment horizontal="center" vertical="center"/>
      <protection hidden="1"/>
    </xf>
    <xf numFmtId="0" fontId="10" fillId="25" borderId="3" xfId="0" applyFont="1" applyFill="1" applyBorder="1" applyAlignment="1" applyProtection="1">
      <alignment horizontal="center" vertical="center"/>
      <protection hidden="1"/>
    </xf>
    <xf numFmtId="0" fontId="10" fillId="25" borderId="4" xfId="0" applyFont="1" applyFill="1" applyBorder="1" applyAlignment="1" applyProtection="1">
      <alignment horizontal="center" vertical="center"/>
      <protection hidden="1"/>
    </xf>
    <xf numFmtId="0" fontId="6" fillId="29" borderId="53" xfId="0" applyFont="1" applyFill="1" applyBorder="1" applyAlignment="1" applyProtection="1">
      <alignment horizontal="center" vertical="center" wrapText="1"/>
      <protection hidden="1"/>
    </xf>
    <xf numFmtId="0" fontId="6" fillId="29" borderId="45" xfId="0" applyFont="1" applyFill="1" applyBorder="1" applyAlignment="1" applyProtection="1">
      <alignment horizontal="center" vertical="center" wrapText="1"/>
      <protection hidden="1"/>
    </xf>
    <xf numFmtId="0" fontId="7" fillId="29" borderId="77" xfId="0" applyFont="1" applyFill="1" applyBorder="1" applyAlignment="1" applyProtection="1">
      <alignment horizontal="center" vertical="center" wrapText="1"/>
      <protection hidden="1"/>
    </xf>
    <xf numFmtId="0" fontId="7" fillId="29" borderId="84" xfId="0" applyFont="1" applyFill="1" applyBorder="1" applyAlignment="1" applyProtection="1">
      <alignment horizontal="center" vertical="center" wrapText="1"/>
      <protection hidden="1"/>
    </xf>
    <xf numFmtId="0" fontId="22" fillId="29" borderId="75" xfId="0" applyFont="1" applyFill="1" applyBorder="1" applyAlignment="1" applyProtection="1">
      <alignment horizontal="center" vertical="center" wrapText="1"/>
      <protection hidden="1"/>
    </xf>
    <xf numFmtId="0" fontId="22" fillId="29" borderId="76" xfId="0" applyFont="1" applyFill="1" applyBorder="1" applyAlignment="1" applyProtection="1">
      <alignment horizontal="center" vertical="center" wrapText="1"/>
      <protection hidden="1"/>
    </xf>
    <xf numFmtId="0" fontId="22" fillId="29" borderId="84" xfId="0" applyFont="1" applyFill="1" applyBorder="1" applyAlignment="1" applyProtection="1">
      <alignment horizontal="center" vertical="center" wrapText="1"/>
      <protection hidden="1"/>
    </xf>
    <xf numFmtId="0" fontId="7" fillId="29" borderId="52" xfId="0" applyFont="1" applyFill="1" applyBorder="1" applyAlignment="1" applyProtection="1">
      <alignment horizontal="center" vertical="center" wrapText="1"/>
      <protection hidden="1"/>
    </xf>
    <xf numFmtId="0" fontId="7" fillId="29" borderId="44" xfId="0" applyFont="1" applyFill="1" applyBorder="1" applyAlignment="1" applyProtection="1">
      <alignment horizontal="center" vertical="center" wrapText="1"/>
      <protection hidden="1"/>
    </xf>
    <xf numFmtId="0" fontId="6" fillId="29" borderId="25" xfId="0" applyFont="1" applyFill="1" applyBorder="1" applyAlignment="1" applyProtection="1">
      <alignment horizontal="center" vertical="center" wrapText="1"/>
      <protection hidden="1"/>
    </xf>
    <xf numFmtId="0" fontId="6" fillId="29" borderId="26" xfId="0" applyFont="1" applyFill="1" applyBorder="1" applyAlignment="1" applyProtection="1">
      <alignment horizontal="center" vertical="center" wrapText="1"/>
      <protection hidden="1"/>
    </xf>
    <xf numFmtId="0" fontId="19" fillId="29" borderId="78" xfId="0" applyFont="1" applyFill="1" applyBorder="1" applyAlignment="1" applyProtection="1">
      <alignment horizontal="center" vertical="center" wrapText="1"/>
      <protection hidden="1"/>
    </xf>
    <xf numFmtId="0" fontId="19" fillId="29" borderId="35" xfId="0" applyFont="1" applyFill="1" applyBorder="1" applyAlignment="1" applyProtection="1">
      <alignment horizontal="center" vertical="center" wrapText="1"/>
      <protection hidden="1"/>
    </xf>
    <xf numFmtId="0" fontId="20" fillId="29" borderId="39" xfId="0" applyFont="1" applyFill="1" applyBorder="1" applyAlignment="1" applyProtection="1">
      <alignment horizontal="center" vertical="center"/>
      <protection hidden="1"/>
    </xf>
    <xf numFmtId="0" fontId="20" fillId="29" borderId="40" xfId="0" applyFont="1" applyFill="1" applyBorder="1" applyAlignment="1" applyProtection="1">
      <alignment horizontal="center" vertical="center"/>
      <protection hidden="1"/>
    </xf>
    <xf numFmtId="0" fontId="20" fillId="29" borderId="43" xfId="0" applyFont="1" applyFill="1" applyBorder="1" applyAlignment="1" applyProtection="1">
      <alignment horizontal="center" vertical="center"/>
      <protection hidden="1"/>
    </xf>
    <xf numFmtId="0" fontId="20" fillId="29" borderId="41" xfId="0" applyFont="1" applyFill="1" applyBorder="1" applyAlignment="1" applyProtection="1">
      <alignment horizontal="center" vertical="center"/>
      <protection hidden="1"/>
    </xf>
    <xf numFmtId="0" fontId="18" fillId="6" borderId="30" xfId="0" applyFont="1" applyFill="1" applyBorder="1" applyAlignment="1" applyProtection="1">
      <alignment horizontal="center" vertical="center"/>
      <protection hidden="1"/>
    </xf>
    <xf numFmtId="0" fontId="18" fillId="6" borderId="9" xfId="0" applyFont="1" applyFill="1" applyBorder="1" applyAlignment="1" applyProtection="1">
      <alignment horizontal="center" vertical="center"/>
      <protection hidden="1"/>
    </xf>
    <xf numFmtId="0" fontId="18" fillId="7" borderId="34" xfId="0" applyFont="1" applyFill="1" applyBorder="1" applyAlignment="1" applyProtection="1">
      <alignment horizontal="center" vertical="center"/>
      <protection hidden="1"/>
    </xf>
    <xf numFmtId="0" fontId="18" fillId="7" borderId="23" xfId="0" applyFont="1" applyFill="1" applyBorder="1" applyAlignment="1" applyProtection="1">
      <alignment horizontal="center" vertical="center"/>
      <protection hidden="1"/>
    </xf>
    <xf numFmtId="0" fontId="23" fillId="8" borderId="2" xfId="0" applyFont="1" applyFill="1" applyBorder="1" applyAlignment="1" applyProtection="1">
      <alignment horizontal="center" vertical="center"/>
      <protection hidden="1"/>
    </xf>
    <xf numFmtId="0" fontId="23" fillId="8" borderId="3" xfId="0" applyFont="1" applyFill="1" applyBorder="1" applyAlignment="1" applyProtection="1">
      <alignment horizontal="center" vertical="center"/>
      <protection hidden="1"/>
    </xf>
    <xf numFmtId="0" fontId="0" fillId="5" borderId="9" xfId="0" applyFill="1" applyBorder="1" applyAlignment="1" applyProtection="1">
      <alignment horizontal="center"/>
      <protection hidden="1"/>
    </xf>
    <xf numFmtId="0" fontId="0" fillId="5" borderId="0" xfId="0" applyFill="1" applyBorder="1" applyAlignment="1" applyProtection="1">
      <alignment horizontal="center"/>
      <protection hidden="1"/>
    </xf>
    <xf numFmtId="0" fontId="18" fillId="17" borderId="9" xfId="0" applyFont="1" applyFill="1" applyBorder="1" applyAlignment="1" applyProtection="1">
      <alignment horizontal="center" vertical="center"/>
      <protection hidden="1"/>
    </xf>
    <xf numFmtId="0" fontId="18" fillId="17" borderId="0" xfId="0" applyFont="1" applyFill="1" applyBorder="1" applyAlignment="1" applyProtection="1">
      <alignment horizontal="center" vertical="center"/>
      <protection hidden="1"/>
    </xf>
    <xf numFmtId="0" fontId="3" fillId="9" borderId="122" xfId="0" applyFont="1" applyFill="1" applyBorder="1" applyAlignment="1" applyProtection="1">
      <alignment horizontal="left" vertical="center"/>
      <protection locked="0"/>
    </xf>
    <xf numFmtId="0" fontId="3" fillId="9" borderId="52" xfId="0" applyFont="1" applyFill="1" applyBorder="1" applyAlignment="1" applyProtection="1">
      <alignment horizontal="left" vertical="center"/>
      <protection locked="0"/>
    </xf>
    <xf numFmtId="0" fontId="1" fillId="29" borderId="41" xfId="0" applyFont="1" applyFill="1" applyBorder="1" applyAlignment="1" applyProtection="1">
      <alignment horizontal="center" vertical="center"/>
      <protection hidden="1"/>
    </xf>
    <xf numFmtId="0" fontId="1" fillId="29" borderId="42" xfId="0" applyFont="1" applyFill="1" applyBorder="1" applyAlignment="1" applyProtection="1">
      <alignment horizontal="center" vertical="center"/>
      <protection hidden="1"/>
    </xf>
    <xf numFmtId="0" fontId="1" fillId="29" borderId="122" xfId="0" applyFont="1" applyFill="1" applyBorder="1" applyAlignment="1" applyProtection="1">
      <alignment horizontal="center" vertical="center"/>
      <protection hidden="1"/>
    </xf>
    <xf numFmtId="0" fontId="1" fillId="29" borderId="52" xfId="0" applyFont="1" applyFill="1" applyBorder="1" applyAlignment="1" applyProtection="1">
      <alignment horizontal="center" vertical="center"/>
      <protection hidden="1"/>
    </xf>
    <xf numFmtId="0" fontId="2" fillId="29" borderId="39" xfId="0" applyFont="1" applyFill="1" applyBorder="1" applyAlignment="1" applyProtection="1">
      <alignment horizontal="center" vertical="center"/>
      <protection hidden="1"/>
    </xf>
    <xf numFmtId="0" fontId="2" fillId="29" borderId="40" xfId="0" applyFont="1" applyFill="1" applyBorder="1" applyAlignment="1" applyProtection="1">
      <alignment horizontal="center" vertical="center"/>
      <protection hidden="1"/>
    </xf>
    <xf numFmtId="0" fontId="2" fillId="29" borderId="42" xfId="0" applyFont="1" applyFill="1" applyBorder="1" applyAlignment="1" applyProtection="1">
      <alignment horizontal="center" vertical="center"/>
      <protection hidden="1"/>
    </xf>
    <xf numFmtId="0" fontId="2" fillId="29" borderId="51" xfId="0" applyFont="1" applyFill="1" applyBorder="1" applyAlignment="1" applyProtection="1">
      <alignment horizontal="center" vertical="center"/>
      <protection hidden="1"/>
    </xf>
    <xf numFmtId="0" fontId="2" fillId="29" borderId="38" xfId="0" applyFont="1" applyFill="1" applyBorder="1" applyAlignment="1" applyProtection="1">
      <alignment horizontal="center" vertical="center"/>
      <protection hidden="1"/>
    </xf>
    <xf numFmtId="0" fontId="2" fillId="29" borderId="52" xfId="0" applyFont="1" applyFill="1" applyBorder="1" applyAlignment="1" applyProtection="1">
      <alignment horizontal="center" vertical="center"/>
      <protection hidden="1"/>
    </xf>
    <xf numFmtId="0" fontId="24" fillId="31" borderId="9" xfId="0" applyFont="1" applyFill="1" applyBorder="1" applyAlignment="1" applyProtection="1">
      <alignment horizontal="center" vertical="center"/>
      <protection hidden="1"/>
    </xf>
    <xf numFmtId="0" fontId="69" fillId="31" borderId="34" xfId="0" applyFont="1" applyFill="1" applyBorder="1" applyAlignment="1" applyProtection="1">
      <alignment horizontal="center"/>
      <protection hidden="1"/>
    </xf>
    <xf numFmtId="0" fontId="69" fillId="31" borderId="23" xfId="0" applyFont="1" applyFill="1" applyBorder="1" applyAlignment="1" applyProtection="1">
      <alignment horizontal="center"/>
      <protection hidden="1"/>
    </xf>
    <xf numFmtId="0" fontId="69" fillId="31" borderId="35" xfId="0" applyFont="1" applyFill="1" applyBorder="1" applyAlignment="1" applyProtection="1">
      <alignment horizontal="center"/>
      <protection hidden="1"/>
    </xf>
    <xf numFmtId="0" fontId="6" fillId="29" borderId="81" xfId="0" applyFont="1" applyFill="1" applyBorder="1" applyAlignment="1" applyProtection="1">
      <alignment horizontal="center" vertical="center" wrapText="1"/>
      <protection hidden="1"/>
    </xf>
    <xf numFmtId="0" fontId="6" fillId="29" borderId="85" xfId="0" applyFont="1" applyFill="1" applyBorder="1" applyAlignment="1" applyProtection="1">
      <alignment horizontal="center" vertical="center" wrapText="1"/>
      <protection hidden="1"/>
    </xf>
    <xf numFmtId="0" fontId="3" fillId="9" borderId="41" xfId="0" applyFont="1" applyFill="1" applyBorder="1" applyAlignment="1" applyProtection="1">
      <alignment horizontal="left" vertical="center" wrapText="1" indent="2"/>
      <protection locked="0"/>
    </xf>
    <xf numFmtId="0" fontId="3" fillId="9" borderId="43" xfId="0" applyFont="1" applyFill="1" applyBorder="1" applyAlignment="1" applyProtection="1">
      <alignment horizontal="left" vertical="center" wrapText="1" indent="2"/>
      <protection locked="0"/>
    </xf>
    <xf numFmtId="0" fontId="10" fillId="25" borderId="82" xfId="0" applyFont="1" applyFill="1" applyBorder="1" applyAlignment="1" applyProtection="1">
      <alignment horizontal="center" vertical="center"/>
      <protection hidden="1"/>
    </xf>
    <xf numFmtId="0" fontId="0" fillId="25" borderId="3" xfId="0" applyFill="1" applyBorder="1"/>
    <xf numFmtId="17" fontId="7" fillId="29" borderId="117" xfId="0" applyNumberFormat="1" applyFont="1" applyFill="1" applyBorder="1" applyAlignment="1" applyProtection="1">
      <alignment horizontal="center" vertical="center" wrapText="1"/>
      <protection hidden="1"/>
    </xf>
    <xf numFmtId="17" fontId="7" fillId="29" borderId="119" xfId="0" applyNumberFormat="1" applyFont="1" applyFill="1" applyBorder="1" applyAlignment="1" applyProtection="1">
      <alignment horizontal="center" vertical="center" wrapText="1"/>
      <protection hidden="1"/>
    </xf>
    <xf numFmtId="17" fontId="7" fillId="29" borderId="118" xfId="0" applyNumberFormat="1" applyFont="1" applyFill="1" applyBorder="1" applyAlignment="1" applyProtection="1">
      <alignment horizontal="center" vertical="center" wrapText="1"/>
      <protection hidden="1"/>
    </xf>
    <xf numFmtId="6" fontId="11" fillId="9" borderId="82" xfId="0" applyNumberFormat="1" applyFont="1" applyFill="1" applyBorder="1" applyAlignment="1" applyProtection="1">
      <alignment horizontal="center" vertical="center"/>
      <protection locked="0" hidden="1"/>
    </xf>
    <xf numFmtId="6" fontId="11" fillId="9" borderId="3" xfId="0" applyNumberFormat="1" applyFont="1" applyFill="1" applyBorder="1" applyAlignment="1" applyProtection="1">
      <alignment horizontal="center" vertical="center"/>
      <protection locked="0" hidden="1"/>
    </xf>
    <xf numFmtId="6" fontId="11" fillId="9" borderId="4" xfId="0" applyNumberFormat="1" applyFont="1" applyFill="1" applyBorder="1" applyAlignment="1" applyProtection="1">
      <alignment horizontal="center" vertical="center"/>
      <protection locked="0" hidden="1"/>
    </xf>
    <xf numFmtId="0" fontId="13" fillId="9" borderId="41" xfId="0" applyFont="1" applyFill="1" applyBorder="1" applyAlignment="1" applyProtection="1">
      <alignment horizontal="left" wrapText="1"/>
      <protection locked="0"/>
    </xf>
    <xf numFmtId="0" fontId="13" fillId="9" borderId="40" xfId="0" applyFont="1" applyFill="1" applyBorder="1" applyAlignment="1" applyProtection="1">
      <alignment horizontal="left" wrapText="1"/>
      <protection locked="0"/>
    </xf>
    <xf numFmtId="0" fontId="13" fillId="9" borderId="42" xfId="0" applyFont="1" applyFill="1" applyBorder="1" applyAlignment="1" applyProtection="1">
      <alignment horizontal="left" wrapText="1"/>
      <protection locked="0"/>
    </xf>
    <xf numFmtId="0" fontId="8" fillId="29" borderId="2" xfId="0" applyFont="1" applyFill="1" applyBorder="1" applyAlignment="1" applyProtection="1">
      <alignment horizontal="center" vertical="center" wrapText="1"/>
      <protection hidden="1"/>
    </xf>
    <xf numFmtId="0" fontId="8" fillId="29" borderId="82" xfId="0" applyFont="1" applyFill="1" applyBorder="1" applyAlignment="1" applyProtection="1">
      <alignment horizontal="center" vertical="center" wrapText="1"/>
      <protection hidden="1"/>
    </xf>
    <xf numFmtId="0" fontId="9" fillId="9" borderId="82" xfId="0" applyFont="1" applyFill="1" applyBorder="1" applyAlignment="1" applyProtection="1">
      <alignment horizontal="center" vertical="center" wrapText="1"/>
      <protection locked="0"/>
    </xf>
    <xf numFmtId="0" fontId="8" fillId="29" borderId="79" xfId="0" applyFont="1" applyFill="1" applyBorder="1" applyAlignment="1" applyProtection="1">
      <alignment horizontal="center" vertical="center" wrapText="1"/>
      <protection hidden="1"/>
    </xf>
    <xf numFmtId="0" fontId="3" fillId="9" borderId="122" xfId="0" applyFont="1" applyFill="1" applyBorder="1" applyAlignment="1" applyProtection="1">
      <alignment horizontal="left"/>
      <protection locked="0"/>
    </xf>
    <xf numFmtId="0" fontId="3" fillId="9" borderId="78" xfId="0" applyFont="1" applyFill="1" applyBorder="1" applyAlignment="1" applyProtection="1">
      <alignment horizontal="left"/>
      <protection locked="0"/>
    </xf>
    <xf numFmtId="0" fontId="1" fillId="29" borderId="122" xfId="0" applyFont="1" applyFill="1" applyBorder="1" applyAlignment="1" applyProtection="1">
      <alignment horizontal="right" vertical="center"/>
      <protection hidden="1"/>
    </xf>
    <xf numFmtId="0" fontId="1" fillId="29" borderId="52" xfId="0" applyFont="1" applyFill="1" applyBorder="1" applyAlignment="1" applyProtection="1">
      <alignment horizontal="right" vertical="center"/>
      <protection hidden="1"/>
    </xf>
    <xf numFmtId="0" fontId="11" fillId="9" borderId="2" xfId="0" applyFont="1" applyFill="1" applyBorder="1" applyAlignment="1" applyProtection="1">
      <alignment horizontal="center" vertical="center" wrapText="1"/>
      <protection locked="0"/>
    </xf>
    <xf numFmtId="0" fontId="11" fillId="9" borderId="83" xfId="0" applyFont="1" applyFill="1" applyBorder="1" applyAlignment="1" applyProtection="1">
      <alignment horizontal="center" vertical="center" wrapText="1"/>
      <protection locked="0"/>
    </xf>
    <xf numFmtId="0" fontId="11" fillId="9" borderId="3" xfId="0" applyFont="1" applyFill="1" applyBorder="1" applyAlignment="1" applyProtection="1">
      <alignment horizontal="center" vertical="center" wrapText="1"/>
      <protection locked="0"/>
    </xf>
    <xf numFmtId="0" fontId="17" fillId="9" borderId="82" xfId="0" applyFont="1" applyFill="1" applyBorder="1" applyAlignment="1" applyProtection="1">
      <alignment horizontal="center" vertical="center" wrapText="1"/>
      <protection locked="0" hidden="1"/>
    </xf>
    <xf numFmtId="0" fontId="17" fillId="9" borderId="3" xfId="0" applyFont="1" applyFill="1" applyBorder="1" applyAlignment="1" applyProtection="1">
      <alignment horizontal="center" vertical="center" wrapText="1"/>
      <protection locked="0" hidden="1"/>
    </xf>
    <xf numFmtId="0" fontId="17" fillId="9" borderId="83" xfId="0" applyFont="1" applyFill="1" applyBorder="1" applyAlignment="1" applyProtection="1">
      <alignment horizontal="center" vertical="center" wrapText="1"/>
      <protection locked="0" hidden="1"/>
    </xf>
    <xf numFmtId="0" fontId="19" fillId="29" borderId="53" xfId="0" applyFont="1" applyFill="1" applyBorder="1" applyAlignment="1" applyProtection="1">
      <alignment horizontal="center" vertical="center" wrapText="1"/>
      <protection hidden="1"/>
    </xf>
    <xf numFmtId="0" fontId="19" fillId="29" borderId="45" xfId="0" applyFont="1" applyFill="1" applyBorder="1" applyAlignment="1" applyProtection="1">
      <alignment horizontal="center" vertical="center" wrapText="1"/>
      <protection hidden="1"/>
    </xf>
    <xf numFmtId="167" fontId="42" fillId="4" borderId="65" xfId="0" applyNumberFormat="1" applyFont="1" applyFill="1" applyBorder="1" applyAlignment="1" applyProtection="1">
      <alignment horizontal="center" vertical="center"/>
      <protection locked="0"/>
    </xf>
    <xf numFmtId="167" fontId="42" fillId="4" borderId="62" xfId="0" applyNumberFormat="1" applyFont="1" applyFill="1" applyBorder="1" applyAlignment="1" applyProtection="1">
      <alignment horizontal="center" vertical="center"/>
      <protection locked="0"/>
    </xf>
    <xf numFmtId="0" fontId="32" fillId="30" borderId="2" xfId="0" applyFont="1" applyFill="1" applyBorder="1" applyAlignment="1" applyProtection="1">
      <alignment horizontal="center" vertical="center"/>
      <protection hidden="1"/>
    </xf>
    <xf numFmtId="0" fontId="32" fillId="30" borderId="3" xfId="0" applyFont="1" applyFill="1" applyBorder="1" applyAlignment="1" applyProtection="1">
      <alignment horizontal="center" vertical="center"/>
      <protection hidden="1"/>
    </xf>
    <xf numFmtId="0" fontId="32" fillId="30" borderId="4" xfId="0" applyFont="1" applyFill="1" applyBorder="1" applyAlignment="1" applyProtection="1">
      <alignment horizontal="center" vertical="center"/>
      <protection hidden="1"/>
    </xf>
    <xf numFmtId="167" fontId="42" fillId="4" borderId="64" xfId="0" applyNumberFormat="1" applyFont="1" applyFill="1" applyBorder="1" applyAlignment="1" applyProtection="1">
      <alignment horizontal="center" vertical="center"/>
      <protection locked="0"/>
    </xf>
    <xf numFmtId="167" fontId="42" fillId="4" borderId="61" xfId="0" applyNumberFormat="1" applyFont="1" applyFill="1" applyBorder="1" applyAlignment="1" applyProtection="1">
      <alignment horizontal="center" vertical="center"/>
      <protection locked="0"/>
    </xf>
    <xf numFmtId="167" fontId="42" fillId="4" borderId="1" xfId="0" applyNumberFormat="1" applyFont="1" applyFill="1" applyBorder="1" applyAlignment="1" applyProtection="1">
      <alignment horizontal="center" vertical="center"/>
      <protection locked="0"/>
    </xf>
    <xf numFmtId="167" fontId="42" fillId="4" borderId="14" xfId="0" applyNumberFormat="1" applyFont="1" applyFill="1" applyBorder="1" applyAlignment="1" applyProtection="1">
      <alignment horizontal="center" vertical="center"/>
      <protection locked="0"/>
    </xf>
    <xf numFmtId="2" fontId="4" fillId="4" borderId="70" xfId="0" applyNumberFormat="1" applyFont="1" applyFill="1" applyBorder="1" applyAlignment="1" applyProtection="1">
      <alignment horizontal="left" vertical="center"/>
      <protection locked="0"/>
    </xf>
    <xf numFmtId="2" fontId="4" fillId="4" borderId="56" xfId="0" applyNumberFormat="1" applyFont="1" applyFill="1" applyBorder="1" applyAlignment="1" applyProtection="1">
      <alignment horizontal="left" vertical="center"/>
      <protection locked="0"/>
    </xf>
    <xf numFmtId="0" fontId="8" fillId="27" borderId="66" xfId="0" applyFont="1" applyFill="1" applyBorder="1" applyAlignment="1" applyProtection="1">
      <alignment horizontal="center" vertical="center" wrapText="1"/>
      <protection hidden="1"/>
    </xf>
    <xf numFmtId="0" fontId="8" fillId="27" borderId="3" xfId="0" applyFont="1" applyFill="1" applyBorder="1" applyAlignment="1" applyProtection="1">
      <alignment horizontal="center" vertical="center" wrapText="1"/>
      <protection hidden="1"/>
    </xf>
    <xf numFmtId="0" fontId="8" fillId="27" borderId="27" xfId="0" applyFont="1" applyFill="1" applyBorder="1" applyAlignment="1" applyProtection="1">
      <alignment horizontal="center" vertical="center" wrapText="1"/>
      <protection hidden="1"/>
    </xf>
    <xf numFmtId="0" fontId="8" fillId="27" borderId="4" xfId="0" applyFont="1" applyFill="1" applyBorder="1" applyAlignment="1" applyProtection="1">
      <alignment horizontal="center" vertical="center" wrapText="1"/>
      <protection hidden="1"/>
    </xf>
    <xf numFmtId="1" fontId="36" fillId="4" borderId="20" xfId="0" applyNumberFormat="1" applyFont="1" applyFill="1" applyBorder="1" applyAlignment="1" applyProtection="1">
      <alignment horizontal="center" vertical="center"/>
      <protection locked="0"/>
    </xf>
    <xf numFmtId="1" fontId="36" fillId="4" borderId="32" xfId="0" applyNumberFormat="1" applyFont="1" applyFill="1" applyBorder="1" applyAlignment="1" applyProtection="1">
      <alignment horizontal="center" vertical="center"/>
      <protection locked="0"/>
    </xf>
    <xf numFmtId="0" fontId="31" fillId="30" borderId="0" xfId="0" applyFont="1" applyFill="1" applyAlignment="1" applyProtection="1">
      <alignment horizontal="center" vertical="center"/>
      <protection hidden="1"/>
    </xf>
    <xf numFmtId="0" fontId="0" fillId="5" borderId="0" xfId="0" applyFill="1" applyAlignment="1" applyProtection="1">
      <alignment horizontal="center"/>
      <protection hidden="1"/>
    </xf>
    <xf numFmtId="2" fontId="52" fillId="12" borderId="1" xfId="0" applyNumberFormat="1" applyFont="1" applyFill="1" applyBorder="1" applyAlignment="1" applyProtection="1">
      <alignment horizontal="center" vertical="center"/>
      <protection hidden="1"/>
    </xf>
    <xf numFmtId="2" fontId="52" fillId="11" borderId="1" xfId="0" applyNumberFormat="1" applyFont="1" applyFill="1" applyBorder="1" applyAlignment="1" applyProtection="1">
      <alignment horizontal="center" vertical="center"/>
      <protection hidden="1"/>
    </xf>
    <xf numFmtId="2" fontId="56" fillId="11" borderId="64" xfId="0" applyNumberFormat="1" applyFont="1" applyFill="1" applyBorder="1" applyAlignment="1" applyProtection="1">
      <alignment horizontal="center" vertical="center"/>
      <protection hidden="1"/>
    </xf>
    <xf numFmtId="2" fontId="56" fillId="11" borderId="28" xfId="0" applyNumberFormat="1" applyFont="1" applyFill="1" applyBorder="1" applyAlignment="1" applyProtection="1">
      <alignment horizontal="center" vertical="center"/>
      <protection hidden="1"/>
    </xf>
    <xf numFmtId="2" fontId="39" fillId="11" borderId="64" xfId="0" applyNumberFormat="1" applyFont="1" applyFill="1" applyBorder="1" applyAlignment="1" applyProtection="1">
      <alignment horizontal="center" vertical="center"/>
      <protection hidden="1"/>
    </xf>
    <xf numFmtId="2" fontId="39" fillId="11" borderId="28" xfId="0" applyNumberFormat="1" applyFont="1" applyFill="1" applyBorder="1" applyAlignment="1" applyProtection="1">
      <alignment horizontal="center" vertical="center"/>
      <protection hidden="1"/>
    </xf>
    <xf numFmtId="2" fontId="39" fillId="12" borderId="64" xfId="0" applyNumberFormat="1" applyFont="1" applyFill="1" applyBorder="1" applyAlignment="1" applyProtection="1">
      <alignment horizontal="center" vertical="center"/>
      <protection hidden="1"/>
    </xf>
    <xf numFmtId="2" fontId="39" fillId="12" borderId="28" xfId="0" applyNumberFormat="1" applyFont="1" applyFill="1" applyBorder="1" applyAlignment="1" applyProtection="1">
      <alignment horizontal="center" vertical="center"/>
      <protection hidden="1"/>
    </xf>
    <xf numFmtId="2" fontId="56" fillId="11" borderId="64" xfId="0" applyNumberFormat="1" applyFont="1" applyFill="1" applyBorder="1" applyAlignment="1" applyProtection="1">
      <alignment horizontal="center" vertical="center" wrapText="1"/>
      <protection hidden="1"/>
    </xf>
    <xf numFmtId="2" fontId="56" fillId="11" borderId="28" xfId="0" applyNumberFormat="1" applyFont="1" applyFill="1" applyBorder="1" applyAlignment="1" applyProtection="1">
      <alignment horizontal="center" vertical="center" wrapText="1"/>
      <protection hidden="1"/>
    </xf>
    <xf numFmtId="2" fontId="52" fillId="12" borderId="5" xfId="0" applyNumberFormat="1" applyFont="1" applyFill="1" applyBorder="1" applyAlignment="1" applyProtection="1">
      <alignment horizontal="center" vertical="center" wrapText="1"/>
      <protection hidden="1"/>
    </xf>
    <xf numFmtId="2" fontId="71" fillId="12" borderId="20" xfId="0" applyNumberFormat="1" applyFont="1" applyFill="1" applyBorder="1" applyAlignment="1" applyProtection="1">
      <alignment horizontal="center" vertical="center"/>
      <protection hidden="1"/>
    </xf>
    <xf numFmtId="2" fontId="72" fillId="12" borderId="22" xfId="0" applyNumberFormat="1" applyFont="1" applyFill="1" applyBorder="1" applyAlignment="1" applyProtection="1">
      <alignment horizontal="center" vertical="center"/>
      <protection hidden="1"/>
    </xf>
    <xf numFmtId="0" fontId="40" fillId="28" borderId="6" xfId="0" applyFont="1" applyFill="1" applyBorder="1" applyAlignment="1" applyProtection="1">
      <alignment horizontal="center" vertical="center" wrapText="1"/>
      <protection hidden="1"/>
    </xf>
    <xf numFmtId="0" fontId="40" fillId="28" borderId="7" xfId="0" applyFont="1" applyFill="1" applyBorder="1" applyAlignment="1" applyProtection="1">
      <alignment horizontal="center" vertical="center" wrapText="1"/>
      <protection hidden="1"/>
    </xf>
    <xf numFmtId="0" fontId="40" fillId="28" borderId="8" xfId="0" applyFont="1" applyFill="1" applyBorder="1" applyAlignment="1" applyProtection="1">
      <alignment horizontal="center" vertical="center" wrapText="1"/>
      <protection hidden="1"/>
    </xf>
    <xf numFmtId="2" fontId="37" fillId="12" borderId="1" xfId="0" applyNumberFormat="1" applyFont="1" applyFill="1" applyBorder="1" applyAlignment="1" applyProtection="1">
      <alignment horizontal="center" vertical="center"/>
      <protection hidden="1"/>
    </xf>
    <xf numFmtId="2" fontId="52" fillId="11" borderId="16" xfId="0" applyNumberFormat="1" applyFont="1" applyFill="1" applyBorder="1" applyAlignment="1" applyProtection="1">
      <alignment horizontal="center" vertical="center"/>
      <protection hidden="1"/>
    </xf>
    <xf numFmtId="2" fontId="39" fillId="11" borderId="65" xfId="0" applyNumberFormat="1" applyFont="1" applyFill="1" applyBorder="1" applyAlignment="1" applyProtection="1">
      <alignment horizontal="center" vertical="center"/>
      <protection hidden="1"/>
    </xf>
    <xf numFmtId="2" fontId="39" fillId="11" borderId="56" xfId="0" applyNumberFormat="1" applyFont="1" applyFill="1" applyBorder="1" applyAlignment="1" applyProtection="1">
      <alignment horizontal="center" vertical="center"/>
      <protection hidden="1"/>
    </xf>
    <xf numFmtId="0" fontId="19" fillId="27" borderId="2" xfId="0" applyFont="1" applyFill="1" applyBorder="1" applyAlignment="1" applyProtection="1">
      <alignment horizontal="center" vertical="center" wrapText="1"/>
      <protection hidden="1"/>
    </xf>
    <xf numFmtId="0" fontId="19" fillId="27" borderId="27" xfId="0" applyFont="1" applyFill="1" applyBorder="1" applyAlignment="1" applyProtection="1">
      <alignment horizontal="center" vertical="center" wrapText="1"/>
      <protection hidden="1"/>
    </xf>
    <xf numFmtId="0" fontId="8" fillId="28" borderId="2" xfId="0" applyFont="1" applyFill="1" applyBorder="1" applyAlignment="1" applyProtection="1">
      <alignment horizontal="center" vertical="center" wrapText="1"/>
      <protection hidden="1"/>
    </xf>
    <xf numFmtId="0" fontId="8" fillId="28" borderId="27" xfId="0" applyFont="1" applyFill="1" applyBorder="1" applyAlignment="1" applyProtection="1">
      <alignment horizontal="center" vertical="center" wrapText="1"/>
      <protection hidden="1"/>
    </xf>
    <xf numFmtId="0" fontId="11" fillId="27" borderId="66" xfId="0" applyFont="1" applyFill="1" applyBorder="1" applyAlignment="1" applyProtection="1">
      <alignment horizontal="center" vertical="center" wrapText="1"/>
      <protection hidden="1"/>
    </xf>
    <xf numFmtId="0" fontId="11" fillId="27" borderId="3" xfId="0" applyFont="1" applyFill="1" applyBorder="1" applyAlignment="1" applyProtection="1">
      <alignment horizontal="center" vertical="center" wrapText="1"/>
      <protection hidden="1"/>
    </xf>
    <xf numFmtId="0" fontId="11" fillId="27" borderId="27" xfId="0" applyFont="1" applyFill="1" applyBorder="1" applyAlignment="1" applyProtection="1">
      <alignment horizontal="center" vertical="center" wrapText="1"/>
      <protection hidden="1"/>
    </xf>
    <xf numFmtId="0" fontId="11" fillId="27" borderId="54" xfId="0" applyFont="1" applyFill="1" applyBorder="1" applyAlignment="1" applyProtection="1">
      <alignment horizontal="center" vertical="center" wrapText="1"/>
      <protection hidden="1"/>
    </xf>
    <xf numFmtId="0" fontId="11" fillId="27" borderId="29" xfId="0" applyFont="1" applyFill="1" applyBorder="1" applyAlignment="1" applyProtection="1">
      <alignment horizontal="center" vertical="center" wrapText="1"/>
      <protection hidden="1"/>
    </xf>
    <xf numFmtId="1" fontId="36" fillId="4" borderId="65" xfId="0" applyNumberFormat="1" applyFont="1" applyFill="1" applyBorder="1" applyAlignment="1" applyProtection="1">
      <alignment horizontal="center" vertical="center"/>
      <protection locked="0"/>
    </xf>
    <xf numFmtId="1" fontId="36" fillId="4" borderId="62" xfId="0" applyNumberFormat="1" applyFont="1" applyFill="1" applyBorder="1" applyAlignment="1" applyProtection="1">
      <alignment horizontal="center" vertical="center"/>
      <protection locked="0"/>
    </xf>
    <xf numFmtId="0" fontId="11" fillId="27" borderId="4" xfId="0" applyFont="1" applyFill="1" applyBorder="1" applyAlignment="1" applyProtection="1">
      <alignment horizontal="center" vertical="center" wrapText="1"/>
      <protection hidden="1"/>
    </xf>
    <xf numFmtId="167" fontId="42" fillId="4" borderId="5" xfId="0" applyNumberFormat="1" applyFont="1" applyFill="1" applyBorder="1" applyAlignment="1" applyProtection="1">
      <alignment horizontal="center" vertical="center"/>
      <protection locked="0"/>
    </xf>
    <xf numFmtId="167" fontId="42" fillId="4" borderId="17" xfId="0" applyNumberFormat="1" applyFont="1" applyFill="1" applyBorder="1" applyAlignment="1" applyProtection="1">
      <alignment horizontal="center" vertical="center"/>
      <protection locked="0"/>
    </xf>
    <xf numFmtId="2" fontId="56" fillId="12" borderId="64" xfId="0" applyNumberFormat="1" applyFont="1" applyFill="1" applyBorder="1" applyAlignment="1" applyProtection="1">
      <alignment horizontal="center" vertical="center"/>
      <protection hidden="1"/>
    </xf>
    <xf numFmtId="2" fontId="56" fillId="12" borderId="28" xfId="0" applyNumberFormat="1" applyFont="1" applyFill="1" applyBorder="1" applyAlignment="1" applyProtection="1">
      <alignment horizontal="center" vertical="center"/>
      <protection hidden="1"/>
    </xf>
    <xf numFmtId="0" fontId="32" fillId="30" borderId="6" xfId="0" applyFont="1" applyFill="1" applyBorder="1" applyAlignment="1" applyProtection="1">
      <alignment horizontal="center" vertical="center"/>
      <protection hidden="1"/>
    </xf>
    <xf numFmtId="0" fontId="32" fillId="30" borderId="7" xfId="0" applyFont="1" applyFill="1" applyBorder="1" applyAlignment="1" applyProtection="1">
      <alignment horizontal="center" vertical="center"/>
      <protection hidden="1"/>
    </xf>
    <xf numFmtId="0" fontId="32" fillId="30" borderId="8" xfId="0" applyFont="1" applyFill="1" applyBorder="1" applyAlignment="1" applyProtection="1">
      <alignment horizontal="center" vertical="center"/>
      <protection hidden="1"/>
    </xf>
    <xf numFmtId="2" fontId="4" fillId="11" borderId="5" xfId="0" applyNumberFormat="1" applyFont="1" applyFill="1" applyBorder="1" applyAlignment="1" applyProtection="1">
      <alignment horizontal="center" vertical="center"/>
      <protection hidden="1"/>
    </xf>
    <xf numFmtId="2" fontId="4" fillId="12" borderId="1" xfId="0" applyNumberFormat="1" applyFont="1" applyFill="1" applyBorder="1" applyAlignment="1" applyProtection="1">
      <alignment horizontal="center" vertical="center"/>
      <protection hidden="1"/>
    </xf>
    <xf numFmtId="2" fontId="4" fillId="4" borderId="69" xfId="0" applyNumberFormat="1" applyFont="1" applyFill="1" applyBorder="1" applyAlignment="1" applyProtection="1">
      <alignment horizontal="left" vertical="center"/>
      <protection locked="0"/>
    </xf>
    <xf numFmtId="2" fontId="4" fillId="4" borderId="28" xfId="0" applyNumberFormat="1" applyFont="1" applyFill="1" applyBorder="1" applyAlignment="1" applyProtection="1">
      <alignment horizontal="left" vertical="center"/>
      <protection locked="0"/>
    </xf>
    <xf numFmtId="1" fontId="36" fillId="4" borderId="64" xfId="0" applyNumberFormat="1" applyFont="1" applyFill="1" applyBorder="1" applyAlignment="1" applyProtection="1">
      <alignment horizontal="center" vertical="center"/>
      <protection locked="0"/>
    </xf>
    <xf numFmtId="1" fontId="36" fillId="4" borderId="61" xfId="0" applyNumberFormat="1" applyFont="1" applyFill="1" applyBorder="1" applyAlignment="1" applyProtection="1">
      <alignment horizontal="center" vertical="center"/>
      <protection locked="0"/>
    </xf>
    <xf numFmtId="0" fontId="20" fillId="4" borderId="0" xfId="0" applyFont="1" applyFill="1" applyBorder="1" applyAlignment="1" applyProtection="1">
      <alignment horizontal="left" wrapText="1"/>
      <protection hidden="1"/>
    </xf>
    <xf numFmtId="0" fontId="20" fillId="4" borderId="49" xfId="0" applyFont="1" applyFill="1" applyBorder="1" applyAlignment="1" applyProtection="1">
      <alignment horizontal="right" wrapText="1"/>
      <protection hidden="1"/>
    </xf>
    <xf numFmtId="0" fontId="20" fillId="4" borderId="0" xfId="0" applyFont="1" applyFill="1" applyBorder="1" applyAlignment="1" applyProtection="1">
      <alignment horizontal="right" wrapText="1"/>
      <protection hidden="1"/>
    </xf>
    <xf numFmtId="0" fontId="12" fillId="4" borderId="49" xfId="0" applyFont="1" applyFill="1" applyBorder="1" applyAlignment="1" applyProtection="1">
      <alignment horizontal="center" wrapText="1"/>
      <protection hidden="1"/>
    </xf>
    <xf numFmtId="0" fontId="8" fillId="4" borderId="34" xfId="0" applyFont="1" applyFill="1" applyBorder="1" applyAlignment="1" applyProtection="1">
      <alignment horizontal="center" wrapText="1"/>
      <protection hidden="1"/>
    </xf>
    <xf numFmtId="0" fontId="8" fillId="4" borderId="23" xfId="0" applyFont="1" applyFill="1" applyBorder="1" applyAlignment="1" applyProtection="1">
      <alignment horizontal="center" wrapText="1"/>
      <protection hidden="1"/>
    </xf>
    <xf numFmtId="0" fontId="8" fillId="4" borderId="35" xfId="0" applyFont="1" applyFill="1" applyBorder="1" applyAlignment="1" applyProtection="1">
      <alignment horizontal="center" wrapText="1"/>
      <protection hidden="1"/>
    </xf>
    <xf numFmtId="0" fontId="11" fillId="0" borderId="31" xfId="0" applyFont="1" applyBorder="1" applyAlignment="1" applyProtection="1">
      <alignment horizontal="center" vertical="center" wrapText="1"/>
      <protection hidden="1"/>
    </xf>
    <xf numFmtId="0" fontId="11" fillId="0" borderId="35" xfId="0" applyFont="1" applyBorder="1" applyAlignment="1" applyProtection="1">
      <alignment horizontal="center" vertical="center" wrapText="1"/>
      <protection hidden="1"/>
    </xf>
    <xf numFmtId="0" fontId="9" fillId="0" borderId="30" xfId="0" applyFont="1" applyBorder="1" applyAlignment="1" applyProtection="1">
      <alignment horizontal="center" vertical="center" wrapText="1"/>
      <protection hidden="1"/>
    </xf>
    <xf numFmtId="0" fontId="9" fillId="0" borderId="9" xfId="0" applyFont="1" applyBorder="1" applyAlignment="1" applyProtection="1">
      <alignment horizontal="center" vertical="center" wrapText="1"/>
      <protection hidden="1"/>
    </xf>
    <xf numFmtId="0" fontId="9" fillId="0" borderId="31" xfId="0" applyFont="1" applyBorder="1" applyAlignment="1" applyProtection="1">
      <alignment horizontal="center" vertical="center" wrapText="1"/>
      <protection hidden="1"/>
    </xf>
    <xf numFmtId="0" fontId="21" fillId="0" borderId="58" xfId="0" applyFont="1" applyBorder="1" applyAlignment="1" applyProtection="1">
      <alignment horizontal="center" vertical="center" wrapText="1"/>
      <protection hidden="1"/>
    </xf>
    <xf numFmtId="0" fontId="21" fillId="0" borderId="61" xfId="0" applyFont="1" applyBorder="1" applyAlignment="1" applyProtection="1">
      <alignment horizontal="center" vertical="center" wrapText="1"/>
      <protection hidden="1"/>
    </xf>
    <xf numFmtId="0" fontId="49" fillId="0" borderId="58" xfId="0" applyFont="1" applyBorder="1" applyAlignment="1" applyProtection="1">
      <alignment horizontal="center" vertical="center" wrapText="1"/>
      <protection hidden="1"/>
    </xf>
    <xf numFmtId="0" fontId="49" fillId="0" borderId="61" xfId="0" applyFont="1" applyBorder="1" applyAlignment="1" applyProtection="1">
      <alignment horizontal="center" vertical="center" wrapText="1"/>
      <protection hidden="1"/>
    </xf>
    <xf numFmtId="0" fontId="10" fillId="0" borderId="36" xfId="0" applyFont="1" applyBorder="1" applyAlignment="1" applyProtection="1">
      <alignment horizontal="center" vertical="center" wrapText="1"/>
      <protection hidden="1"/>
    </xf>
    <xf numFmtId="0" fontId="10" fillId="0" borderId="37" xfId="0" applyFont="1" applyBorder="1" applyAlignment="1" applyProtection="1">
      <alignment horizontal="center" vertical="center" wrapText="1"/>
      <protection hidden="1"/>
    </xf>
    <xf numFmtId="0" fontId="10" fillId="0" borderId="55" xfId="0" applyFont="1" applyBorder="1" applyAlignment="1" applyProtection="1">
      <alignment horizontal="center" vertical="center" wrapText="1"/>
      <protection hidden="1"/>
    </xf>
    <xf numFmtId="0" fontId="10" fillId="0" borderId="19" xfId="0" applyFont="1" applyBorder="1" applyAlignment="1" applyProtection="1">
      <alignment horizontal="center" vertical="center" wrapText="1"/>
      <protection hidden="1"/>
    </xf>
    <xf numFmtId="0" fontId="45" fillId="0" borderId="29" xfId="0" applyFont="1" applyBorder="1" applyAlignment="1" applyProtection="1">
      <alignment horizontal="center" vertical="center" wrapText="1"/>
      <protection hidden="1"/>
    </xf>
    <xf numFmtId="0" fontId="45" fillId="0" borderId="60" xfId="0" applyFont="1" applyBorder="1" applyAlignment="1" applyProtection="1">
      <alignment horizontal="center" vertical="center" wrapText="1"/>
      <protection hidden="1"/>
    </xf>
    <xf numFmtId="0" fontId="10" fillId="0" borderId="54" xfId="0" applyFont="1" applyBorder="1" applyAlignment="1" applyProtection="1">
      <alignment horizontal="center" vertical="center" wrapText="1"/>
      <protection hidden="1"/>
    </xf>
    <xf numFmtId="0" fontId="10" fillId="0" borderId="63" xfId="0" applyFont="1" applyBorder="1" applyAlignment="1" applyProtection="1">
      <alignment horizontal="center" vertical="center" wrapText="1"/>
      <protection hidden="1"/>
    </xf>
    <xf numFmtId="0" fontId="17" fillId="0" borderId="57" xfId="0" applyFont="1" applyBorder="1" applyAlignment="1" applyProtection="1">
      <alignment horizontal="center" vertical="center" wrapText="1"/>
      <protection hidden="1"/>
    </xf>
    <xf numFmtId="0" fontId="17" fillId="0" borderId="21" xfId="0" applyFont="1" applyBorder="1" applyAlignment="1" applyProtection="1">
      <alignment horizontal="center" vertical="center" wrapText="1"/>
      <protection hidden="1"/>
    </xf>
    <xf numFmtId="0" fontId="17" fillId="0" borderId="32" xfId="0" applyFont="1" applyBorder="1" applyAlignment="1" applyProtection="1">
      <alignment horizontal="center" vertical="center" wrapText="1"/>
      <protection hidden="1"/>
    </xf>
    <xf numFmtId="0" fontId="46" fillId="0" borderId="58" xfId="0" applyFont="1" applyBorder="1" applyAlignment="1" applyProtection="1">
      <alignment horizontal="center" vertical="center" wrapText="1"/>
      <protection hidden="1"/>
    </xf>
    <xf numFmtId="0" fontId="46" fillId="0" borderId="61" xfId="0" applyFont="1" applyBorder="1" applyAlignment="1" applyProtection="1">
      <alignment horizontal="center" vertical="center" wrapText="1"/>
      <protection hidden="1"/>
    </xf>
    <xf numFmtId="0" fontId="29" fillId="4" borderId="30" xfId="0" applyFont="1" applyFill="1" applyBorder="1" applyAlignment="1" applyProtection="1">
      <alignment horizontal="center" wrapText="1"/>
      <protection hidden="1"/>
    </xf>
    <xf numFmtId="0" fontId="29" fillId="4" borderId="9" xfId="0" applyFont="1" applyFill="1" applyBorder="1" applyAlignment="1" applyProtection="1">
      <alignment horizontal="center" wrapText="1"/>
      <protection hidden="1"/>
    </xf>
    <xf numFmtId="0" fontId="29" fillId="4" borderId="31" xfId="0" applyFont="1" applyFill="1" applyBorder="1" applyAlignment="1" applyProtection="1">
      <alignment horizontal="center" wrapText="1"/>
      <protection hidden="1"/>
    </xf>
    <xf numFmtId="0" fontId="19" fillId="4" borderId="9" xfId="0" applyFont="1" applyFill="1" applyBorder="1" applyAlignment="1" applyProtection="1">
      <alignment horizontal="right" wrapText="1"/>
      <protection hidden="1"/>
    </xf>
    <xf numFmtId="0" fontId="19" fillId="4" borderId="9" xfId="0" applyFont="1" applyFill="1" applyBorder="1" applyAlignment="1" applyProtection="1">
      <alignment horizontal="left" wrapText="1"/>
      <protection hidden="1"/>
    </xf>
    <xf numFmtId="0" fontId="19" fillId="4" borderId="9" xfId="0" applyFont="1" applyFill="1" applyBorder="1" applyAlignment="1" applyProtection="1">
      <alignment horizontal="right" vertical="center" wrapText="1"/>
      <protection hidden="1"/>
    </xf>
    <xf numFmtId="0" fontId="8" fillId="4" borderId="9" xfId="0" applyFont="1" applyFill="1" applyBorder="1" applyAlignment="1" applyProtection="1">
      <alignment horizontal="left" vertical="center" wrapText="1"/>
      <protection hidden="1"/>
    </xf>
    <xf numFmtId="0" fontId="8" fillId="4" borderId="31" xfId="0" applyFont="1" applyFill="1" applyBorder="1" applyAlignment="1" applyProtection="1">
      <alignment horizontal="left" vertical="center" wrapText="1"/>
      <protection hidden="1"/>
    </xf>
    <xf numFmtId="0" fontId="20" fillId="4" borderId="9" xfId="0" applyFont="1" applyFill="1" applyBorder="1" applyAlignment="1" applyProtection="1">
      <alignment horizontal="left" wrapText="1"/>
      <protection hidden="1"/>
    </xf>
    <xf numFmtId="0" fontId="20" fillId="4" borderId="30" xfId="0" applyFont="1" applyFill="1" applyBorder="1" applyAlignment="1" applyProtection="1">
      <alignment horizontal="right" wrapText="1"/>
      <protection hidden="1"/>
    </xf>
    <xf numFmtId="0" fontId="20" fillId="4" borderId="9" xfId="0" applyFont="1" applyFill="1" applyBorder="1" applyAlignment="1" applyProtection="1">
      <alignment horizontal="right" wrapText="1"/>
      <protection hidden="1"/>
    </xf>
    <xf numFmtId="0" fontId="26" fillId="0" borderId="34" xfId="0" applyFont="1" applyBorder="1" applyAlignment="1" applyProtection="1">
      <alignment horizontal="center" wrapText="1"/>
      <protection hidden="1"/>
    </xf>
    <xf numFmtId="0" fontId="26" fillId="0" borderId="23" xfId="0" applyFont="1" applyBorder="1" applyAlignment="1" applyProtection="1">
      <alignment horizontal="center" wrapText="1"/>
      <protection hidden="1"/>
    </xf>
    <xf numFmtId="0" fontId="26" fillId="0" borderId="60" xfId="0" applyFont="1" applyBorder="1" applyAlignment="1" applyProtection="1">
      <alignment horizontal="center" wrapText="1"/>
      <protection hidden="1"/>
    </xf>
    <xf numFmtId="0" fontId="26" fillId="0" borderId="63" xfId="0" applyFont="1" applyBorder="1" applyAlignment="1" applyProtection="1">
      <alignment horizontal="center" wrapText="1"/>
      <protection hidden="1"/>
    </xf>
    <xf numFmtId="0" fontId="26" fillId="0" borderId="35" xfId="0" applyFont="1" applyBorder="1" applyAlignment="1" applyProtection="1">
      <alignment horizontal="center" wrapText="1"/>
      <protection hidden="1"/>
    </xf>
    <xf numFmtId="0" fontId="12" fillId="0" borderId="2" xfId="0" applyFont="1" applyBorder="1" applyAlignment="1" applyProtection="1">
      <alignment horizontal="center" vertical="center" wrapText="1"/>
      <protection hidden="1"/>
    </xf>
    <xf numFmtId="0" fontId="12" fillId="0" borderId="3" xfId="0" applyFont="1" applyBorder="1" applyAlignment="1" applyProtection="1">
      <alignment horizontal="center" vertical="center" wrapText="1"/>
      <protection hidden="1"/>
    </xf>
    <xf numFmtId="0" fontId="12" fillId="0" borderId="4" xfId="0" applyFont="1" applyBorder="1" applyAlignment="1" applyProtection="1">
      <alignment horizontal="center" vertical="center" wrapText="1"/>
      <protection hidden="1"/>
    </xf>
    <xf numFmtId="166" fontId="19" fillId="4" borderId="0" xfId="0" applyNumberFormat="1" applyFont="1" applyFill="1" applyBorder="1" applyAlignment="1" applyProtection="1">
      <alignment horizontal="left" wrapText="1"/>
      <protection hidden="1"/>
    </xf>
    <xf numFmtId="0" fontId="19"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vertical="center" wrapText="1"/>
      <protection hidden="1"/>
    </xf>
    <xf numFmtId="0" fontId="8" fillId="4" borderId="50" xfId="0" applyFont="1" applyFill="1" applyBorder="1" applyAlignment="1" applyProtection="1">
      <alignment horizontal="left" vertical="center" wrapText="1"/>
      <protection hidden="1"/>
    </xf>
    <xf numFmtId="0" fontId="8" fillId="4" borderId="49" xfId="0" applyFont="1" applyFill="1" applyBorder="1" applyAlignment="1" applyProtection="1">
      <alignment horizontal="center" wrapText="1"/>
      <protection hidden="1"/>
    </xf>
    <xf numFmtId="0" fontId="8" fillId="4" borderId="0" xfId="0" applyFont="1" applyFill="1" applyBorder="1" applyAlignment="1" applyProtection="1">
      <alignment horizontal="center" wrapText="1"/>
      <protection hidden="1"/>
    </xf>
    <xf numFmtId="0" fontId="8" fillId="4" borderId="50" xfId="0" applyFont="1" applyFill="1" applyBorder="1" applyAlignment="1" applyProtection="1">
      <alignment horizontal="center" wrapText="1"/>
      <protection hidden="1"/>
    </xf>
    <xf numFmtId="0" fontId="7" fillId="4" borderId="0" xfId="0" applyFont="1" applyFill="1" applyBorder="1" applyAlignment="1" applyProtection="1">
      <alignment horizontal="right" vertical="center" wrapText="1"/>
      <protection hidden="1"/>
    </xf>
    <xf numFmtId="0" fontId="8" fillId="4" borderId="0" xfId="0" applyFont="1" applyFill="1" applyBorder="1" applyAlignment="1" applyProtection="1">
      <alignment horizontal="left" wrapText="1"/>
      <protection locked="0"/>
    </xf>
    <xf numFmtId="0" fontId="8" fillId="4" borderId="50" xfId="0" applyFont="1" applyFill="1" applyBorder="1" applyAlignment="1" applyProtection="1">
      <alignment horizontal="left" wrapText="1"/>
      <protection locked="0"/>
    </xf>
    <xf numFmtId="0" fontId="21" fillId="0" borderId="58" xfId="0" applyFont="1" applyBorder="1" applyAlignment="1" applyProtection="1">
      <alignment horizontal="center" vertical="center" wrapText="1"/>
      <protection locked="0"/>
    </xf>
    <xf numFmtId="0" fontId="21" fillId="0" borderId="61" xfId="0" applyFont="1" applyBorder="1" applyAlignment="1" applyProtection="1">
      <alignment horizontal="center" vertical="center" wrapText="1"/>
      <protection locked="0"/>
    </xf>
    <xf numFmtId="0" fontId="21" fillId="0" borderId="59" xfId="0" applyFont="1" applyBorder="1" applyAlignment="1" applyProtection="1">
      <alignment horizontal="center" vertical="center" wrapText="1"/>
      <protection locked="0"/>
    </xf>
    <xf numFmtId="0" fontId="21" fillId="0" borderId="62" xfId="0" applyFont="1" applyBorder="1" applyAlignment="1" applyProtection="1">
      <alignment horizontal="center" vertical="center" wrapText="1"/>
      <protection locked="0"/>
    </xf>
    <xf numFmtId="0" fontId="19" fillId="4" borderId="0" xfId="0" applyFont="1" applyFill="1" applyBorder="1" applyAlignment="1" applyProtection="1">
      <alignment horizontal="right" wrapText="1"/>
      <protection hidden="1"/>
    </xf>
    <xf numFmtId="0" fontId="65" fillId="0" borderId="103" xfId="1" applyFont="1" applyBorder="1" applyAlignment="1" applyProtection="1">
      <alignment horizontal="right" vertical="center"/>
      <protection hidden="1"/>
    </xf>
    <xf numFmtId="0" fontId="65" fillId="0" borderId="104" xfId="1" applyFont="1" applyBorder="1" applyAlignment="1" applyProtection="1">
      <alignment horizontal="right" vertical="center"/>
      <protection hidden="1"/>
    </xf>
    <xf numFmtId="0" fontId="65" fillId="0" borderId="104" xfId="1" applyFont="1" applyBorder="1" applyAlignment="1" applyProtection="1">
      <alignment horizontal="left" vertical="center"/>
      <protection hidden="1"/>
    </xf>
    <xf numFmtId="0" fontId="65" fillId="0" borderId="105" xfId="1" applyFont="1" applyBorder="1" applyAlignment="1" applyProtection="1">
      <alignment horizontal="left" vertical="center"/>
      <protection hidden="1"/>
    </xf>
    <xf numFmtId="2" fontId="60" fillId="0" borderId="24" xfId="0" applyNumberFormat="1" applyFont="1" applyBorder="1" applyAlignment="1" applyProtection="1">
      <alignment horizontal="left" vertical="center" wrapText="1"/>
      <protection hidden="1"/>
    </xf>
    <xf numFmtId="2" fontId="39" fillId="0" borderId="24" xfId="0" applyNumberFormat="1" applyFont="1" applyBorder="1" applyAlignment="1" applyProtection="1">
      <alignment horizontal="left" vertical="center"/>
      <protection hidden="1"/>
    </xf>
    <xf numFmtId="0" fontId="29" fillId="19" borderId="0" xfId="0" applyFont="1" applyFill="1" applyBorder="1" applyAlignment="1" applyProtection="1">
      <alignment horizontal="center" vertical="center" wrapText="1"/>
      <protection hidden="1"/>
    </xf>
    <xf numFmtId="2" fontId="17" fillId="0" borderId="24" xfId="0" applyNumberFormat="1" applyFont="1" applyBorder="1" applyAlignment="1" applyProtection="1">
      <alignment horizontal="left" vertical="center"/>
      <protection hidden="1"/>
    </xf>
    <xf numFmtId="2" fontId="7" fillId="0" borderId="24" xfId="0" applyNumberFormat="1" applyFont="1" applyBorder="1" applyAlignment="1" applyProtection="1">
      <alignment horizontal="left" vertical="center"/>
      <protection hidden="1"/>
    </xf>
    <xf numFmtId="2" fontId="104" fillId="0" borderId="24" xfId="0" applyNumberFormat="1" applyFont="1" applyBorder="1" applyAlignment="1" applyProtection="1">
      <alignment horizontal="left" vertical="center"/>
      <protection hidden="1"/>
    </xf>
    <xf numFmtId="2" fontId="103" fillId="0" borderId="24" xfId="0" applyNumberFormat="1" applyFont="1" applyBorder="1" applyAlignment="1" applyProtection="1">
      <alignment horizontal="left" vertical="center"/>
      <protection hidden="1"/>
    </xf>
    <xf numFmtId="0" fontId="60" fillId="0" borderId="25" xfId="1" applyFont="1" applyBorder="1" applyAlignment="1" applyProtection="1">
      <alignment horizontal="right" vertical="center"/>
      <protection hidden="1"/>
    </xf>
    <xf numFmtId="0" fontId="39" fillId="0" borderId="102" xfId="1" applyFont="1" applyBorder="1" applyAlignment="1" applyProtection="1">
      <alignment horizontal="right" vertical="center"/>
      <protection hidden="1"/>
    </xf>
    <xf numFmtId="0" fontId="39" fillId="0" borderId="26" xfId="1" applyFont="1" applyBorder="1" applyAlignment="1" applyProtection="1">
      <alignment horizontal="right" vertical="center"/>
      <protection hidden="1"/>
    </xf>
    <xf numFmtId="168" fontId="75" fillId="4" borderId="0" xfId="0" applyNumberFormat="1" applyFont="1" applyFill="1" applyBorder="1" applyAlignment="1" applyProtection="1">
      <alignment horizontal="center" vertical="center"/>
      <protection hidden="1"/>
    </xf>
    <xf numFmtId="0" fontId="102" fillId="18" borderId="125" xfId="0" applyFont="1" applyFill="1" applyBorder="1" applyAlignment="1" applyProtection="1">
      <alignment horizontal="center" vertical="center" wrapText="1"/>
      <protection hidden="1"/>
    </xf>
    <xf numFmtId="0" fontId="102" fillId="18" borderId="126" xfId="0" applyFont="1" applyFill="1" applyBorder="1" applyAlignment="1" applyProtection="1">
      <alignment horizontal="center" vertical="center" wrapText="1"/>
      <protection hidden="1"/>
    </xf>
    <xf numFmtId="0" fontId="102" fillId="18" borderId="123" xfId="0" applyFont="1" applyFill="1" applyBorder="1" applyAlignment="1" applyProtection="1">
      <alignment horizontal="center" vertical="center" wrapText="1"/>
      <protection hidden="1"/>
    </xf>
    <xf numFmtId="0" fontId="102" fillId="18" borderId="127" xfId="0" applyFont="1" applyFill="1" applyBorder="1" applyAlignment="1" applyProtection="1">
      <alignment horizontal="center" vertical="center" wrapText="1"/>
      <protection hidden="1"/>
    </xf>
    <xf numFmtId="0" fontId="102" fillId="18" borderId="128" xfId="0" applyFont="1" applyFill="1" applyBorder="1" applyAlignment="1" applyProtection="1">
      <alignment horizontal="center" vertical="center" wrapText="1"/>
      <protection hidden="1"/>
    </xf>
    <xf numFmtId="0" fontId="102" fillId="18" borderId="129" xfId="0" applyFont="1" applyFill="1" applyBorder="1" applyAlignment="1" applyProtection="1">
      <alignment horizontal="center" vertical="center" wrapText="1"/>
      <protection hidden="1"/>
    </xf>
    <xf numFmtId="0" fontId="8" fillId="0" borderId="130" xfId="0" applyFont="1" applyBorder="1" applyAlignment="1" applyProtection="1">
      <alignment horizontal="center" vertical="center" wrapText="1"/>
      <protection hidden="1"/>
    </xf>
    <xf numFmtId="0" fontId="8" fillId="0" borderId="132" xfId="0" applyFont="1" applyBorder="1" applyAlignment="1" applyProtection="1">
      <alignment horizontal="center" vertical="center" wrapText="1"/>
      <protection hidden="1"/>
    </xf>
    <xf numFmtId="0" fontId="8" fillId="0" borderId="134" xfId="0" applyFont="1" applyBorder="1" applyAlignment="1" applyProtection="1">
      <alignment horizontal="center" vertical="center" wrapText="1"/>
      <protection hidden="1"/>
    </xf>
    <xf numFmtId="2" fontId="8" fillId="0" borderId="131" xfId="0" applyNumberFormat="1" applyFont="1" applyBorder="1" applyAlignment="1" applyProtection="1">
      <alignment horizontal="center" vertical="center" wrapText="1"/>
      <protection hidden="1"/>
    </xf>
    <xf numFmtId="0" fontId="8" fillId="0" borderId="133" xfId="0" applyFont="1" applyBorder="1" applyAlignment="1" applyProtection="1">
      <alignment horizontal="center" vertical="center" wrapText="1"/>
      <protection hidden="1"/>
    </xf>
    <xf numFmtId="2" fontId="8" fillId="0" borderId="133" xfId="0" applyNumberFormat="1" applyFont="1" applyBorder="1" applyAlignment="1" applyProtection="1">
      <alignment horizontal="center" vertical="center" wrapText="1"/>
      <protection hidden="1"/>
    </xf>
    <xf numFmtId="0" fontId="8" fillId="0" borderId="135" xfId="0" applyFont="1" applyBorder="1" applyAlignment="1" applyProtection="1">
      <alignment horizontal="center" vertical="center" wrapText="1"/>
      <protection hidden="1"/>
    </xf>
    <xf numFmtId="2" fontId="101" fillId="4" borderId="0" xfId="1" applyNumberFormat="1" applyFont="1" applyFill="1" applyBorder="1" applyAlignment="1" applyProtection="1">
      <alignment horizontal="center" vertical="center"/>
      <protection hidden="1"/>
    </xf>
    <xf numFmtId="0" fontId="101" fillId="4" borderId="0" xfId="1" applyFont="1" applyFill="1" applyBorder="1" applyAlignment="1" applyProtection="1">
      <alignment horizontal="center" vertical="center"/>
      <protection hidden="1"/>
    </xf>
    <xf numFmtId="0" fontId="74" fillId="3" borderId="136" xfId="0" applyFont="1" applyFill="1" applyBorder="1" applyAlignment="1" applyProtection="1">
      <alignment horizontal="center" vertical="center"/>
      <protection hidden="1"/>
    </xf>
    <xf numFmtId="0" fontId="74" fillId="3" borderId="137" xfId="0" applyFont="1" applyFill="1" applyBorder="1" applyAlignment="1" applyProtection="1">
      <alignment horizontal="center" vertical="center"/>
      <protection hidden="1"/>
    </xf>
    <xf numFmtId="0" fontId="60" fillId="0" borderId="92" xfId="1" applyFont="1" applyBorder="1" applyAlignment="1" applyProtection="1">
      <alignment horizontal="right" vertical="center"/>
      <protection hidden="1"/>
    </xf>
    <xf numFmtId="0" fontId="53" fillId="0" borderId="101" xfId="1" applyFont="1" applyBorder="1" applyAlignment="1" applyProtection="1">
      <alignment horizontal="center"/>
      <protection hidden="1"/>
    </xf>
    <xf numFmtId="0" fontId="53" fillId="0" borderId="0" xfId="1" applyFont="1" applyBorder="1" applyAlignment="1" applyProtection="1">
      <alignment horizontal="center"/>
      <protection hidden="1"/>
    </xf>
    <xf numFmtId="0" fontId="51" fillId="0" borderId="86" xfId="1" applyFont="1" applyBorder="1" applyAlignment="1" applyProtection="1">
      <alignment horizontal="center" vertical="center"/>
      <protection hidden="1"/>
    </xf>
    <xf numFmtId="0" fontId="51" fillId="0" borderId="89" xfId="1" applyFont="1" applyBorder="1" applyAlignment="1" applyProtection="1">
      <alignment horizontal="center" vertical="center"/>
      <protection hidden="1"/>
    </xf>
    <xf numFmtId="0" fontId="51" fillId="0" borderId="91" xfId="1" applyFont="1" applyBorder="1" applyAlignment="1" applyProtection="1">
      <alignment horizontal="center" vertical="center"/>
      <protection hidden="1"/>
    </xf>
    <xf numFmtId="0" fontId="17" fillId="0" borderId="87" xfId="1" applyFont="1" applyBorder="1" applyAlignment="1" applyProtection="1">
      <alignment horizontal="center" vertical="center" textRotation="90" wrapText="1"/>
      <protection hidden="1"/>
    </xf>
    <xf numFmtId="0" fontId="17" fillId="0" borderId="24" xfId="1" applyFont="1" applyBorder="1" applyAlignment="1" applyProtection="1">
      <alignment horizontal="center" vertical="center" textRotation="90" wrapText="1"/>
      <protection hidden="1"/>
    </xf>
    <xf numFmtId="0" fontId="17" fillId="0" borderId="92" xfId="1" applyFont="1" applyBorder="1" applyAlignment="1" applyProtection="1">
      <alignment horizontal="center" vertical="center" textRotation="90" wrapText="1"/>
      <protection hidden="1"/>
    </xf>
    <xf numFmtId="0" fontId="62" fillId="0" borderId="87" xfId="1" applyFont="1" applyBorder="1" applyAlignment="1" applyProtection="1">
      <alignment horizontal="center" vertical="center" wrapText="1"/>
      <protection hidden="1"/>
    </xf>
    <xf numFmtId="0" fontId="63" fillId="0" borderId="87" xfId="1" applyFont="1" applyBorder="1" applyAlignment="1" applyProtection="1">
      <alignment horizontal="center" vertical="center" wrapText="1"/>
      <protection hidden="1"/>
    </xf>
    <xf numFmtId="0" fontId="60" fillId="0" borderId="87" xfId="1" applyFont="1" applyBorder="1" applyAlignment="1" applyProtection="1">
      <alignment horizontal="center" vertical="center" wrapText="1"/>
      <protection hidden="1"/>
    </xf>
    <xf numFmtId="0" fontId="60" fillId="0" borderId="88" xfId="1" applyFont="1" applyBorder="1" applyAlignment="1" applyProtection="1">
      <alignment horizontal="center" vertical="center" wrapText="1"/>
      <protection hidden="1"/>
    </xf>
    <xf numFmtId="1" fontId="51" fillId="0" borderId="24" xfId="1" applyNumberFormat="1" applyFont="1" applyBorder="1" applyAlignment="1" applyProtection="1">
      <alignment horizontal="center" wrapText="1"/>
      <protection hidden="1"/>
    </xf>
    <xf numFmtId="0" fontId="51" fillId="0" borderId="24" xfId="1" applyFont="1" applyBorder="1" applyAlignment="1" applyProtection="1">
      <alignment horizontal="center" wrapText="1"/>
      <protection hidden="1"/>
    </xf>
    <xf numFmtId="0" fontId="63" fillId="0" borderId="92" xfId="1" applyFont="1" applyBorder="1" applyAlignment="1" applyProtection="1">
      <alignment horizontal="right" vertical="center"/>
      <protection hidden="1"/>
    </xf>
    <xf numFmtId="2" fontId="60" fillId="0" borderId="24" xfId="0" applyNumberFormat="1" applyFont="1" applyBorder="1" applyAlignment="1" applyProtection="1">
      <alignment horizontal="left" vertical="center"/>
      <protection hidden="1"/>
    </xf>
    <xf numFmtId="2" fontId="17" fillId="0" borderId="25" xfId="0" applyNumberFormat="1" applyFont="1" applyBorder="1" applyAlignment="1" applyProtection="1">
      <alignment horizontal="right" vertical="center"/>
      <protection hidden="1"/>
    </xf>
    <xf numFmtId="2" fontId="17" fillId="0" borderId="102" xfId="0" applyNumberFormat="1" applyFont="1" applyBorder="1" applyAlignment="1" applyProtection="1">
      <alignment horizontal="right" vertical="center"/>
      <protection hidden="1"/>
    </xf>
    <xf numFmtId="2" fontId="17" fillId="0" borderId="26" xfId="0" applyNumberFormat="1" applyFont="1" applyBorder="1" applyAlignment="1" applyProtection="1">
      <alignment horizontal="right" vertical="center"/>
      <protection hidden="1"/>
    </xf>
    <xf numFmtId="0" fontId="39" fillId="0" borderId="24" xfId="1" applyFont="1" applyBorder="1" applyAlignment="1" applyProtection="1">
      <alignment horizontal="left" vertical="center"/>
      <protection hidden="1"/>
    </xf>
    <xf numFmtId="0" fontId="17" fillId="0" borderId="24" xfId="1" applyFont="1" applyBorder="1" applyAlignment="1" applyProtection="1">
      <alignment horizontal="left" vertical="center"/>
      <protection hidden="1"/>
    </xf>
    <xf numFmtId="0" fontId="17" fillId="0" borderId="92" xfId="1" applyFont="1" applyBorder="1" applyAlignment="1" applyProtection="1">
      <alignment horizontal="left" vertical="center"/>
      <protection hidden="1"/>
    </xf>
    <xf numFmtId="0" fontId="51" fillId="0" borderId="86" xfId="1" applyFont="1" applyBorder="1" applyAlignment="1" applyProtection="1">
      <alignment horizontal="center" vertical="top"/>
      <protection hidden="1"/>
    </xf>
    <xf numFmtId="0" fontId="51" fillId="0" borderId="89" xfId="1" applyFont="1" applyBorder="1" applyAlignment="1" applyProtection="1">
      <alignment horizontal="center" vertical="top"/>
      <protection hidden="1"/>
    </xf>
    <xf numFmtId="0" fontId="39" fillId="0" borderId="25" xfId="1" applyFont="1" applyBorder="1" applyAlignment="1" applyProtection="1">
      <alignment horizontal="center" vertical="center"/>
      <protection hidden="1"/>
    </xf>
    <xf numFmtId="0" fontId="39" fillId="0" borderId="102" xfId="1" applyFont="1" applyBorder="1" applyAlignment="1" applyProtection="1">
      <alignment horizontal="center" vertical="center"/>
      <protection hidden="1"/>
    </xf>
    <xf numFmtId="0" fontId="39" fillId="0" borderId="26" xfId="1" applyFont="1" applyBorder="1" applyAlignment="1" applyProtection="1">
      <alignment horizontal="center" vertical="center"/>
      <protection hidden="1"/>
    </xf>
    <xf numFmtId="0" fontId="71" fillId="0" borderId="25" xfId="1" applyFont="1" applyBorder="1" applyAlignment="1" applyProtection="1">
      <alignment horizontal="center" vertical="center" wrapText="1"/>
      <protection hidden="1"/>
    </xf>
    <xf numFmtId="0" fontId="71" fillId="0" borderId="26" xfId="1" applyFont="1" applyBorder="1" applyAlignment="1" applyProtection="1">
      <alignment horizontal="center" vertical="center" wrapText="1"/>
      <protection hidden="1"/>
    </xf>
    <xf numFmtId="0" fontId="71" fillId="0" borderId="102" xfId="1" applyFont="1" applyBorder="1" applyAlignment="1" applyProtection="1">
      <alignment horizontal="center" vertical="center" wrapText="1"/>
      <protection hidden="1"/>
    </xf>
    <xf numFmtId="0" fontId="53" fillId="0" borderId="99" xfId="1" applyFont="1" applyBorder="1" applyAlignment="1" applyProtection="1">
      <alignment horizontal="left" vertical="center"/>
      <protection hidden="1"/>
    </xf>
    <xf numFmtId="0" fontId="17" fillId="0" borderId="87" xfId="1" applyFont="1" applyBorder="1" applyAlignment="1" applyProtection="1">
      <alignment horizontal="left" vertical="center"/>
      <protection hidden="1"/>
    </xf>
    <xf numFmtId="0" fontId="60" fillId="0" borderId="87" xfId="1" applyFont="1" applyBorder="1" applyAlignment="1" applyProtection="1">
      <alignment horizontal="left" vertical="center"/>
      <protection hidden="1"/>
    </xf>
    <xf numFmtId="0" fontId="60" fillId="0" borderId="88" xfId="1" applyFont="1" applyBorder="1" applyAlignment="1" applyProtection="1">
      <alignment horizontal="left" vertical="center"/>
      <protection hidden="1"/>
    </xf>
    <xf numFmtId="0" fontId="60" fillId="0" borderId="25" xfId="1" applyFont="1" applyBorder="1" applyAlignment="1" applyProtection="1">
      <alignment horizontal="center" vertical="center"/>
      <protection hidden="1"/>
    </xf>
    <xf numFmtId="0" fontId="60" fillId="0" borderId="102" xfId="1" applyFont="1" applyBorder="1" applyAlignment="1" applyProtection="1">
      <alignment horizontal="center" vertical="center"/>
      <protection hidden="1"/>
    </xf>
    <xf numFmtId="0" fontId="60" fillId="0" borderId="26" xfId="1" applyFont="1" applyBorder="1" applyAlignment="1" applyProtection="1">
      <alignment horizontal="center" vertical="center"/>
      <protection hidden="1"/>
    </xf>
    <xf numFmtId="0" fontId="62" fillId="0" borderId="25" xfId="1" applyFont="1" applyBorder="1" applyAlignment="1" applyProtection="1">
      <alignment horizontal="center" vertical="center"/>
      <protection hidden="1"/>
    </xf>
    <xf numFmtId="0" fontId="62" fillId="0" borderId="102" xfId="1" applyFont="1" applyBorder="1" applyAlignment="1" applyProtection="1">
      <alignment horizontal="center" vertical="center"/>
      <protection hidden="1"/>
    </xf>
    <xf numFmtId="0" fontId="51" fillId="0" borderId="94" xfId="1" applyFont="1" applyBorder="1" applyAlignment="1" applyProtection="1">
      <alignment horizontal="center" vertical="top"/>
      <protection hidden="1"/>
    </xf>
    <xf numFmtId="0" fontId="61" fillId="0" borderId="24" xfId="1" applyFont="1" applyBorder="1" applyAlignment="1" applyProtection="1">
      <alignment horizontal="left" vertical="center"/>
      <protection hidden="1"/>
    </xf>
    <xf numFmtId="0" fontId="61" fillId="0" borderId="90" xfId="1" applyFont="1" applyBorder="1" applyAlignment="1" applyProtection="1">
      <alignment horizontal="left" vertical="center"/>
      <protection hidden="1"/>
    </xf>
    <xf numFmtId="0" fontId="39" fillId="0" borderId="24" xfId="1" applyFont="1" applyBorder="1" applyAlignment="1" applyProtection="1">
      <alignment horizontal="left" vertical="top"/>
      <protection hidden="1"/>
    </xf>
    <xf numFmtId="0" fontId="56" fillId="0" borderId="24" xfId="1" applyFont="1" applyBorder="1" applyAlignment="1" applyProtection="1">
      <alignment horizontal="left" vertical="center"/>
      <protection hidden="1"/>
    </xf>
    <xf numFmtId="0" fontId="60" fillId="0" borderId="53" xfId="1" applyFont="1" applyBorder="1" applyAlignment="1" applyProtection="1">
      <alignment horizontal="right" vertical="center"/>
      <protection hidden="1"/>
    </xf>
    <xf numFmtId="0" fontId="39" fillId="0" borderId="25" xfId="1" applyFont="1" applyFill="1" applyBorder="1" applyAlignment="1" applyProtection="1">
      <alignment vertical="center"/>
      <protection hidden="1"/>
    </xf>
    <xf numFmtId="0" fontId="39" fillId="0" borderId="102" xfId="1" applyFont="1" applyFill="1" applyBorder="1" applyAlignment="1" applyProtection="1">
      <alignment vertical="center"/>
      <protection hidden="1"/>
    </xf>
    <xf numFmtId="0" fontId="39" fillId="0" borderId="26" xfId="1" applyFont="1" applyFill="1" applyBorder="1" applyAlignment="1" applyProtection="1">
      <alignment vertical="center"/>
      <protection hidden="1"/>
    </xf>
    <xf numFmtId="0" fontId="60" fillId="0" borderId="92" xfId="1" applyFont="1" applyBorder="1" applyAlignment="1" applyProtection="1">
      <alignment horizontal="right" vertical="center" wrapText="1"/>
      <protection hidden="1"/>
    </xf>
    <xf numFmtId="0" fontId="17" fillId="0" borderId="80" xfId="1" applyFont="1" applyBorder="1" applyAlignment="1" applyProtection="1">
      <alignment horizontal="left" vertical="center"/>
      <protection hidden="1"/>
    </xf>
    <xf numFmtId="0" fontId="61" fillId="0" borderId="87" xfId="1" applyFont="1" applyBorder="1" applyAlignment="1" applyProtection="1">
      <alignment horizontal="left" vertical="center"/>
      <protection hidden="1"/>
    </xf>
    <xf numFmtId="0" fontId="61" fillId="0" borderId="88" xfId="1" applyFont="1" applyBorder="1" applyAlignment="1" applyProtection="1">
      <alignment horizontal="left" vertical="center"/>
      <protection hidden="1"/>
    </xf>
    <xf numFmtId="0" fontId="60" fillId="0" borderId="24" xfId="1" applyFont="1" applyBorder="1" applyAlignment="1" applyProtection="1">
      <alignment horizontal="left" vertical="center"/>
      <protection hidden="1"/>
    </xf>
    <xf numFmtId="0" fontId="60" fillId="0" borderId="90" xfId="1" applyFont="1" applyBorder="1" applyAlignment="1" applyProtection="1">
      <alignment horizontal="left" vertical="center"/>
      <protection hidden="1"/>
    </xf>
    <xf numFmtId="0" fontId="51" fillId="16" borderId="24" xfId="1" applyFont="1" applyFill="1" applyBorder="1" applyAlignment="1" applyProtection="1">
      <alignment horizontal="center" vertical="center"/>
      <protection hidden="1"/>
    </xf>
    <xf numFmtId="0" fontId="51" fillId="16" borderId="90" xfId="1" applyFont="1" applyFill="1" applyBorder="1" applyAlignment="1" applyProtection="1">
      <alignment horizontal="center" vertical="center"/>
      <protection hidden="1"/>
    </xf>
    <xf numFmtId="0" fontId="39" fillId="0" borderId="24" xfId="1" applyFont="1" applyFill="1" applyBorder="1" applyAlignment="1" applyProtection="1">
      <alignment vertical="center"/>
      <protection hidden="1"/>
    </xf>
    <xf numFmtId="0" fontId="60" fillId="0" borderId="24" xfId="1" applyFont="1" applyBorder="1" applyAlignment="1" applyProtection="1">
      <alignment horizontal="right" vertical="center"/>
      <protection hidden="1"/>
    </xf>
    <xf numFmtId="0" fontId="28" fillId="0" borderId="24" xfId="1" applyFont="1" applyBorder="1" applyAlignment="1" applyProtection="1">
      <alignment horizontal="right" vertical="center"/>
      <protection hidden="1"/>
    </xf>
    <xf numFmtId="0" fontId="39" fillId="0" borderId="24" xfId="1" applyFont="1" applyBorder="1" applyAlignment="1" applyProtection="1">
      <alignment horizontal="left" vertical="center" wrapText="1"/>
      <protection hidden="1"/>
    </xf>
    <xf numFmtId="0" fontId="64" fillId="4" borderId="0" xfId="1" applyFont="1" applyFill="1" applyBorder="1" applyAlignment="1" applyProtection="1">
      <alignment horizontal="center" vertical="center"/>
      <protection hidden="1"/>
    </xf>
    <xf numFmtId="0" fontId="70" fillId="10" borderId="106" xfId="1" applyFont="1" applyFill="1" applyBorder="1" applyAlignment="1" applyProtection="1">
      <alignment horizontal="left" vertical="center" indent="5"/>
      <protection hidden="1"/>
    </xf>
    <xf numFmtId="0" fontId="70" fillId="10" borderId="107" xfId="1" applyFont="1" applyFill="1" applyBorder="1" applyAlignment="1" applyProtection="1">
      <alignment horizontal="left" vertical="center" indent="5"/>
      <protection hidden="1"/>
    </xf>
    <xf numFmtId="0" fontId="70" fillId="10" borderId="108" xfId="1" applyFont="1" applyFill="1" applyBorder="1" applyAlignment="1" applyProtection="1">
      <alignment horizontal="left" vertical="center" indent="5"/>
      <protection hidden="1"/>
    </xf>
    <xf numFmtId="0" fontId="57" fillId="0" borderId="80" xfId="1" applyFont="1" applyBorder="1" applyAlignment="1" applyProtection="1">
      <alignment horizontal="left" vertical="center"/>
      <protection hidden="1"/>
    </xf>
    <xf numFmtId="0" fontId="11" fillId="0" borderId="80" xfId="2" applyFont="1" applyFill="1" applyBorder="1" applyAlignment="1" applyProtection="1">
      <alignment horizontal="left" vertical="center"/>
      <protection hidden="1"/>
    </xf>
    <xf numFmtId="0" fontId="11" fillId="0" borderId="80" xfId="1" applyFont="1" applyFill="1" applyBorder="1" applyAlignment="1" applyProtection="1">
      <alignment horizontal="left" vertical="center"/>
      <protection hidden="1"/>
    </xf>
    <xf numFmtId="0" fontId="11" fillId="0" borderId="80" xfId="1" applyFont="1" applyFill="1" applyBorder="1" applyAlignment="1" applyProtection="1">
      <alignment horizontal="center" vertical="center"/>
      <protection hidden="1"/>
    </xf>
    <xf numFmtId="0" fontId="11" fillId="0" borderId="97" xfId="1" applyFont="1" applyFill="1" applyBorder="1" applyAlignment="1" applyProtection="1">
      <alignment horizontal="center" vertical="center"/>
      <protection hidden="1"/>
    </xf>
    <xf numFmtId="0" fontId="39" fillId="0" borderId="87" xfId="1" applyFont="1" applyBorder="1" applyAlignment="1" applyProtection="1">
      <alignment horizontal="left" vertical="center"/>
      <protection hidden="1"/>
    </xf>
    <xf numFmtId="0" fontId="59" fillId="0" borderId="24" xfId="1" applyFont="1" applyBorder="1" applyAlignment="1" applyProtection="1">
      <alignment horizontal="right" vertical="center"/>
      <protection hidden="1"/>
    </xf>
    <xf numFmtId="2" fontId="51" fillId="0" borderId="24" xfId="1" applyNumberFormat="1" applyFont="1" applyBorder="1" applyAlignment="1" applyProtection="1">
      <alignment horizontal="center" vertical="center"/>
      <protection hidden="1"/>
    </xf>
    <xf numFmtId="0" fontId="51" fillId="0" borderId="24" xfId="1" applyFont="1" applyBorder="1" applyAlignment="1" applyProtection="1">
      <alignment horizontal="center" vertical="center"/>
      <protection hidden="1"/>
    </xf>
    <xf numFmtId="0" fontId="51" fillId="0" borderId="90" xfId="1" applyFont="1" applyBorder="1" applyAlignment="1" applyProtection="1">
      <alignment horizontal="center" vertical="center"/>
      <protection hidden="1"/>
    </xf>
    <xf numFmtId="0" fontId="39" fillId="0" borderId="24" xfId="1" applyFont="1" applyBorder="1" applyAlignment="1" applyProtection="1">
      <alignment horizontal="center" vertical="center"/>
      <protection hidden="1"/>
    </xf>
    <xf numFmtId="0" fontId="39" fillId="0" borderId="90" xfId="1" applyFont="1" applyBorder="1" applyAlignment="1" applyProtection="1">
      <alignment horizontal="center" vertical="center"/>
      <protection hidden="1"/>
    </xf>
    <xf numFmtId="0" fontId="5" fillId="0" borderId="0" xfId="0" applyFont="1" applyAlignment="1" applyProtection="1">
      <alignment horizontal="center" vertical="center"/>
      <protection hidden="1"/>
    </xf>
    <xf numFmtId="0" fontId="64" fillId="15" borderId="103" xfId="1" applyFont="1" applyFill="1" applyBorder="1" applyAlignment="1" applyProtection="1">
      <alignment horizontal="center" vertical="center"/>
      <protection hidden="1"/>
    </xf>
    <xf numFmtId="0" fontId="64" fillId="15" borderId="104" xfId="1" applyFont="1" applyFill="1" applyBorder="1" applyAlignment="1" applyProtection="1">
      <alignment horizontal="center" vertical="center"/>
      <protection hidden="1"/>
    </xf>
    <xf numFmtId="0" fontId="64" fillId="15" borderId="105" xfId="1" applyFont="1" applyFill="1" applyBorder="1" applyAlignment="1" applyProtection="1">
      <alignment horizontal="center" vertical="center"/>
      <protection hidden="1"/>
    </xf>
    <xf numFmtId="0" fontId="39" fillId="0" borderId="24" xfId="1" applyFont="1" applyBorder="1" applyAlignment="1" applyProtection="1">
      <alignment horizontal="center" vertical="top"/>
      <protection hidden="1"/>
    </xf>
    <xf numFmtId="0" fontId="60" fillId="0" borderId="102" xfId="1" applyFont="1" applyBorder="1" applyAlignment="1" applyProtection="1">
      <alignment horizontal="right" vertical="center"/>
      <protection hidden="1"/>
    </xf>
    <xf numFmtId="0" fontId="60" fillId="0" borderId="26" xfId="1" applyFont="1" applyBorder="1" applyAlignment="1" applyProtection="1">
      <alignment horizontal="right" vertical="center"/>
      <protection hidden="1"/>
    </xf>
    <xf numFmtId="0" fontId="52" fillId="0" borderId="24" xfId="1" applyFont="1" applyBorder="1" applyAlignment="1" applyProtection="1">
      <alignment horizontal="center" vertical="center" wrapText="1"/>
      <protection hidden="1"/>
    </xf>
    <xf numFmtId="2" fontId="39" fillId="0" borderId="24" xfId="1" applyNumberFormat="1" applyFont="1" applyBorder="1" applyAlignment="1" applyProtection="1">
      <alignment horizontal="left" vertical="center"/>
      <protection hidden="1"/>
    </xf>
    <xf numFmtId="0" fontId="60" fillId="0" borderId="24" xfId="1" applyFont="1" applyBorder="1" applyAlignment="1" applyProtection="1">
      <alignment horizontal="center" vertical="center"/>
      <protection hidden="1"/>
    </xf>
    <xf numFmtId="2" fontId="58" fillId="0" borderId="24" xfId="1" applyNumberFormat="1" applyFont="1" applyBorder="1" applyAlignment="1" applyProtection="1">
      <alignment horizontal="center" vertical="center"/>
      <protection hidden="1"/>
    </xf>
    <xf numFmtId="0" fontId="39" fillId="0" borderId="25" xfId="1" applyFont="1" applyBorder="1" applyAlignment="1" applyProtection="1">
      <alignment horizontal="right" vertical="center"/>
      <protection hidden="1"/>
    </xf>
    <xf numFmtId="0" fontId="39" fillId="11" borderId="24" xfId="1" applyFont="1" applyFill="1" applyBorder="1" applyAlignment="1" applyProtection="1">
      <alignment vertical="center"/>
      <protection locked="0"/>
    </xf>
    <xf numFmtId="2" fontId="71" fillId="0" borderId="24" xfId="0" applyNumberFormat="1" applyFont="1" applyBorder="1" applyAlignment="1" applyProtection="1">
      <alignment horizontal="left" vertical="center"/>
      <protection hidden="1"/>
    </xf>
    <xf numFmtId="2" fontId="64" fillId="4" borderId="0" xfId="1" applyNumberFormat="1" applyFont="1" applyFill="1" applyBorder="1" applyAlignment="1" applyProtection="1">
      <alignment horizontal="center" vertical="center"/>
      <protection hidden="1"/>
    </xf>
    <xf numFmtId="0" fontId="8" fillId="0" borderId="109" xfId="0" applyFont="1" applyBorder="1" applyAlignment="1" applyProtection="1">
      <alignment horizontal="center" vertical="center" wrapText="1"/>
      <protection hidden="1"/>
    </xf>
    <xf numFmtId="0" fontId="8" fillId="0" borderId="68" xfId="0" applyFont="1" applyBorder="1" applyAlignment="1" applyProtection="1">
      <alignment horizontal="center" vertical="center" wrapText="1"/>
      <protection hidden="1"/>
    </xf>
    <xf numFmtId="168" fontId="75" fillId="0" borderId="109" xfId="0" applyNumberFormat="1" applyFont="1" applyBorder="1" applyAlignment="1" applyProtection="1">
      <alignment horizontal="center" vertical="center"/>
      <protection hidden="1"/>
    </xf>
    <xf numFmtId="168" fontId="75" fillId="0" borderId="131" xfId="0" applyNumberFormat="1" applyFont="1" applyBorder="1" applyAlignment="1" applyProtection="1">
      <alignment horizontal="center" vertical="center"/>
      <protection hidden="1"/>
    </xf>
    <xf numFmtId="168" fontId="75" fillId="0" borderId="68" xfId="0" applyNumberFormat="1" applyFont="1" applyBorder="1" applyAlignment="1" applyProtection="1">
      <alignment horizontal="center" vertical="center"/>
      <protection hidden="1"/>
    </xf>
    <xf numFmtId="168" fontId="75" fillId="0" borderId="133" xfId="0" applyNumberFormat="1" applyFont="1" applyBorder="1" applyAlignment="1" applyProtection="1">
      <alignment horizontal="center" vertical="center"/>
      <protection hidden="1"/>
    </xf>
    <xf numFmtId="0" fontId="25" fillId="3" borderId="132" xfId="0" applyFont="1" applyFill="1" applyBorder="1" applyAlignment="1" applyProtection="1">
      <alignment horizontal="center" vertical="center"/>
      <protection hidden="1"/>
    </xf>
    <xf numFmtId="0" fontId="25" fillId="3" borderId="68" xfId="0" applyFont="1" applyFill="1" applyBorder="1" applyAlignment="1" applyProtection="1">
      <alignment horizontal="center" vertical="center"/>
      <protection hidden="1"/>
    </xf>
    <xf numFmtId="0" fontId="25" fillId="3" borderId="133" xfId="0" applyFont="1" applyFill="1" applyBorder="1" applyAlignment="1" applyProtection="1">
      <alignment horizontal="center" vertical="center"/>
      <protection hidden="1"/>
    </xf>
    <xf numFmtId="0" fontId="29" fillId="19" borderId="0" xfId="0" applyFont="1" applyFill="1" applyAlignment="1" applyProtection="1">
      <alignment horizontal="center" vertical="center" wrapText="1"/>
      <protection hidden="1"/>
    </xf>
    <xf numFmtId="0" fontId="74" fillId="3" borderId="139" xfId="0" applyFont="1" applyFill="1" applyBorder="1" applyAlignment="1" applyProtection="1">
      <alignment horizontal="center" vertical="center"/>
      <protection hidden="1"/>
    </xf>
    <xf numFmtId="0" fontId="74" fillId="3" borderId="140" xfId="0" applyFont="1" applyFill="1" applyBorder="1" applyAlignment="1" applyProtection="1">
      <alignment horizontal="center" vertical="center"/>
      <protection hidden="1"/>
    </xf>
    <xf numFmtId="0" fontId="74" fillId="3" borderId="141" xfId="0" applyFont="1" applyFill="1" applyBorder="1" applyAlignment="1" applyProtection="1">
      <alignment horizontal="center" vertical="center"/>
      <protection hidden="1"/>
    </xf>
    <xf numFmtId="0" fontId="76" fillId="18" borderId="125" xfId="0" applyFont="1" applyFill="1" applyBorder="1" applyAlignment="1" applyProtection="1">
      <alignment horizontal="center" vertical="center" wrapText="1"/>
      <protection hidden="1"/>
    </xf>
    <xf numFmtId="0" fontId="76" fillId="18" borderId="138" xfId="0" applyFont="1" applyFill="1" applyBorder="1" applyAlignment="1" applyProtection="1">
      <alignment horizontal="center" vertical="center" wrapText="1"/>
      <protection hidden="1"/>
    </xf>
    <xf numFmtId="0" fontId="76" fillId="18" borderId="126" xfId="0" applyFont="1" applyFill="1" applyBorder="1" applyAlignment="1" applyProtection="1">
      <alignment horizontal="center" vertical="center" wrapText="1"/>
      <protection hidden="1"/>
    </xf>
    <xf numFmtId="0" fontId="76" fillId="18" borderId="123" xfId="0" applyFont="1" applyFill="1" applyBorder="1" applyAlignment="1" applyProtection="1">
      <alignment horizontal="center" vertical="center" wrapText="1"/>
      <protection hidden="1"/>
    </xf>
    <xf numFmtId="0" fontId="76" fillId="18" borderId="0" xfId="0" applyFont="1" applyFill="1" applyBorder="1" applyAlignment="1" applyProtection="1">
      <alignment horizontal="center" vertical="center" wrapText="1"/>
      <protection hidden="1"/>
    </xf>
    <xf numFmtId="0" fontId="76" fillId="18" borderId="127" xfId="0" applyFont="1" applyFill="1" applyBorder="1" applyAlignment="1" applyProtection="1">
      <alignment horizontal="center" vertical="center" wrapText="1"/>
      <protection hidden="1"/>
    </xf>
    <xf numFmtId="0" fontId="76" fillId="18" borderId="128" xfId="0" applyFont="1" applyFill="1" applyBorder="1" applyAlignment="1" applyProtection="1">
      <alignment horizontal="center" vertical="center" wrapText="1"/>
      <protection hidden="1"/>
    </xf>
    <xf numFmtId="0" fontId="76" fillId="18" borderId="142" xfId="0" applyFont="1" applyFill="1" applyBorder="1" applyAlignment="1" applyProtection="1">
      <alignment horizontal="center" vertical="center" wrapText="1"/>
      <protection hidden="1"/>
    </xf>
    <xf numFmtId="0" fontId="76" fillId="18" borderId="129" xfId="0" applyFont="1" applyFill="1" applyBorder="1" applyAlignment="1" applyProtection="1">
      <alignment horizontal="center" vertical="center" wrapText="1"/>
      <protection hidden="1"/>
    </xf>
    <xf numFmtId="0" fontId="74" fillId="19" borderId="0" xfId="0" applyFont="1" applyFill="1" applyBorder="1" applyAlignment="1" applyProtection="1">
      <alignment horizontal="center" vertical="center"/>
      <protection hidden="1"/>
    </xf>
    <xf numFmtId="0" fontId="65" fillId="0" borderId="106" xfId="1" applyFont="1" applyBorder="1" applyAlignment="1" applyProtection="1">
      <alignment horizontal="right" vertical="center"/>
      <protection hidden="1"/>
    </xf>
    <xf numFmtId="0" fontId="65" fillId="0" borderId="107" xfId="1" applyFont="1" applyBorder="1" applyAlignment="1" applyProtection="1">
      <alignment horizontal="right" vertical="center"/>
      <protection hidden="1"/>
    </xf>
    <xf numFmtId="0" fontId="65" fillId="0" borderId="108" xfId="1" applyFont="1" applyBorder="1" applyAlignment="1" applyProtection="1">
      <alignment horizontal="right" vertical="center"/>
      <protection hidden="1"/>
    </xf>
    <xf numFmtId="6" fontId="17" fillId="9" borderId="83" xfId="0" applyNumberFormat="1" applyFont="1" applyFill="1" applyBorder="1" applyAlignment="1" applyProtection="1">
      <alignment horizontal="center" vertical="center"/>
      <protection locked="0"/>
    </xf>
    <xf numFmtId="0" fontId="63" fillId="0" borderId="92" xfId="1" applyFont="1" applyBorder="1" applyAlignment="1" applyProtection="1">
      <alignment horizontal="right" vertical="center" wrapText="1"/>
      <protection hidden="1"/>
    </xf>
    <xf numFmtId="0" fontId="46" fillId="0" borderId="24" xfId="1" applyFont="1" applyBorder="1" applyAlignment="1" applyProtection="1">
      <alignment horizontal="left" vertical="center"/>
      <protection hidden="1"/>
    </xf>
    <xf numFmtId="0" fontId="109" fillId="0" borderId="24" xfId="1" applyFont="1" applyBorder="1" applyAlignment="1" applyProtection="1">
      <alignment horizontal="left" vertical="center"/>
      <protection hidden="1"/>
    </xf>
    <xf numFmtId="0" fontId="110" fillId="0" borderId="24" xfId="1" applyFont="1" applyBorder="1" applyAlignment="1" applyProtection="1">
      <alignment vertical="center"/>
      <protection hidden="1"/>
    </xf>
    <xf numFmtId="0" fontId="111" fillId="0" borderId="89" xfId="1" applyFont="1" applyBorder="1" applyAlignment="1" applyProtection="1">
      <alignment horizontal="center" vertical="center"/>
      <protection hidden="1"/>
    </xf>
    <xf numFmtId="0" fontId="112" fillId="0" borderId="24" xfId="1" applyFont="1" applyBorder="1" applyAlignment="1" applyProtection="1">
      <alignment horizontal="left" vertical="center"/>
      <protection hidden="1"/>
    </xf>
    <xf numFmtId="0" fontId="113" fillId="0" borderId="24" xfId="1" applyFont="1" applyBorder="1" applyAlignment="1" applyProtection="1">
      <alignment vertical="center"/>
      <protection hidden="1"/>
    </xf>
    <xf numFmtId="2" fontId="114" fillId="0" borderId="90" xfId="1" applyNumberFormat="1" applyFont="1" applyBorder="1" applyAlignment="1" applyProtection="1">
      <alignment horizontal="right" vertical="center"/>
      <protection hidden="1"/>
    </xf>
    <xf numFmtId="2" fontId="111" fillId="0" borderId="24" xfId="1" applyNumberFormat="1" applyFont="1" applyBorder="1" applyAlignment="1" applyProtection="1">
      <alignment horizontal="center" vertical="center"/>
      <protection hidden="1"/>
    </xf>
    <xf numFmtId="0" fontId="112" fillId="0" borderId="24" xfId="1" applyFont="1" applyBorder="1" applyAlignment="1" applyProtection="1">
      <alignment horizontal="center" vertical="center"/>
      <protection hidden="1"/>
    </xf>
    <xf numFmtId="0" fontId="112" fillId="0" borderId="90" xfId="1" applyFont="1" applyBorder="1" applyAlignment="1" applyProtection="1">
      <alignment horizontal="center" vertical="center"/>
      <protection hidden="1"/>
    </xf>
    <xf numFmtId="0" fontId="112" fillId="0" borderId="24" xfId="1" applyFont="1" applyBorder="1" applyAlignment="1" applyProtection="1">
      <alignment horizontal="left" vertical="center" wrapText="1"/>
      <protection hidden="1"/>
    </xf>
    <xf numFmtId="0" fontId="112" fillId="0" borderId="25" xfId="1" applyFont="1" applyBorder="1" applyAlignment="1" applyProtection="1">
      <alignment horizontal="right" vertical="center"/>
      <protection hidden="1"/>
    </xf>
    <xf numFmtId="0" fontId="112" fillId="0" borderId="102" xfId="1" applyFont="1" applyBorder="1" applyAlignment="1" applyProtection="1">
      <alignment horizontal="right" vertical="center"/>
      <protection hidden="1"/>
    </xf>
    <xf numFmtId="0" fontId="112" fillId="0" borderId="26" xfId="1" applyFont="1" applyBorder="1" applyAlignment="1" applyProtection="1">
      <alignment horizontal="right" vertical="center"/>
      <protection hidden="1"/>
    </xf>
    <xf numFmtId="0" fontId="115" fillId="0" borderId="25" xfId="1" applyFont="1" applyBorder="1" applyAlignment="1" applyProtection="1">
      <alignment horizontal="right" vertical="center"/>
      <protection hidden="1"/>
    </xf>
    <xf numFmtId="0" fontId="115" fillId="0" borderId="102" xfId="1" applyFont="1" applyBorder="1" applyAlignment="1" applyProtection="1">
      <alignment horizontal="right" vertical="center"/>
      <protection hidden="1"/>
    </xf>
    <xf numFmtId="0" fontId="115" fillId="0" borderId="26" xfId="1" applyFont="1" applyBorder="1" applyAlignment="1" applyProtection="1">
      <alignment horizontal="right" vertical="center"/>
      <protection hidden="1"/>
    </xf>
    <xf numFmtId="2" fontId="116" fillId="0" borderId="90" xfId="1" applyNumberFormat="1" applyFont="1" applyBorder="1" applyAlignment="1" applyProtection="1">
      <alignment horizontal="right" vertical="center"/>
      <protection hidden="1"/>
    </xf>
    <xf numFmtId="0" fontId="113" fillId="0" borderId="24" xfId="1" applyFont="1" applyBorder="1" applyAlignment="1" applyProtection="1">
      <alignment horizontal="center" vertical="center" wrapText="1"/>
      <protection hidden="1"/>
    </xf>
    <xf numFmtId="0" fontId="111" fillId="0" borderId="24" xfId="1" applyFont="1" applyBorder="1" applyAlignment="1" applyProtection="1">
      <alignment horizontal="center" vertical="center"/>
      <protection hidden="1"/>
    </xf>
    <xf numFmtId="2" fontId="112" fillId="0" borderId="24" xfId="1" applyNumberFormat="1" applyFont="1" applyBorder="1" applyAlignment="1" applyProtection="1">
      <alignment horizontal="left" vertical="center"/>
      <protection hidden="1"/>
    </xf>
    <xf numFmtId="0" fontId="111" fillId="0" borderId="24" xfId="1" applyFont="1" applyBorder="1" applyAlignment="1" applyProtection="1">
      <alignment horizontal="right" vertical="center"/>
      <protection hidden="1"/>
    </xf>
    <xf numFmtId="0" fontId="39" fillId="0" borderId="122" xfId="1" applyFont="1" applyBorder="1" applyAlignment="1" applyProtection="1">
      <alignment horizontal="left" vertical="top" wrapText="1"/>
      <protection hidden="1"/>
    </xf>
    <xf numFmtId="0" fontId="39" fillId="0" borderId="38" xfId="1" applyFont="1" applyBorder="1" applyAlignment="1" applyProtection="1">
      <alignment horizontal="left" vertical="top"/>
      <protection hidden="1"/>
    </xf>
    <xf numFmtId="0" fontId="39" fillId="0" borderId="52" xfId="1" applyFont="1" applyBorder="1" applyAlignment="1" applyProtection="1">
      <alignment horizontal="left" vertical="top"/>
      <protection hidden="1"/>
    </xf>
    <xf numFmtId="0" fontId="39" fillId="0" borderId="143" xfId="1" applyFont="1" applyBorder="1" applyAlignment="1" applyProtection="1">
      <alignment horizontal="left" vertical="top"/>
      <protection hidden="1"/>
    </xf>
    <xf numFmtId="0" fontId="39" fillId="0" borderId="144" xfId="1" applyFont="1" applyBorder="1" applyAlignment="1" applyProtection="1">
      <alignment horizontal="left" vertical="top"/>
      <protection hidden="1"/>
    </xf>
    <xf numFmtId="0" fontId="39" fillId="0" borderId="145" xfId="1" applyFont="1" applyBorder="1" applyAlignment="1" applyProtection="1">
      <alignment horizontal="left" vertical="top"/>
      <protection hidden="1"/>
    </xf>
    <xf numFmtId="0" fontId="52" fillId="0" borderId="53" xfId="1" applyFont="1" applyBorder="1" applyAlignment="1" applyProtection="1">
      <alignment horizontal="center" vertical="center"/>
      <protection hidden="1"/>
    </xf>
    <xf numFmtId="0" fontId="52" fillId="0" borderId="146" xfId="1" applyFont="1" applyBorder="1" applyAlignment="1" applyProtection="1">
      <alignment horizontal="center" vertical="center"/>
      <protection hidden="1"/>
    </xf>
    <xf numFmtId="0" fontId="39" fillId="0" borderId="122" xfId="1" applyFont="1" applyBorder="1" applyAlignment="1" applyProtection="1">
      <alignment horizontal="left" vertical="top" wrapText="1"/>
      <protection locked="0"/>
    </xf>
    <xf numFmtId="0" fontId="39" fillId="0" borderId="38" xfId="1" applyFont="1" applyBorder="1" applyAlignment="1" applyProtection="1">
      <alignment horizontal="left" vertical="top"/>
      <protection locked="0"/>
    </xf>
    <xf numFmtId="0" fontId="39" fillId="0" borderId="52" xfId="1" applyFont="1" applyBorder="1" applyAlignment="1" applyProtection="1">
      <alignment horizontal="left" vertical="top"/>
      <protection locked="0"/>
    </xf>
    <xf numFmtId="0" fontId="52" fillId="0" borderId="53" xfId="1" applyFont="1" applyBorder="1" applyAlignment="1" applyProtection="1">
      <alignment horizontal="center" vertical="center"/>
      <protection locked="0"/>
    </xf>
    <xf numFmtId="2" fontId="56" fillId="4" borderId="95" xfId="1" applyNumberFormat="1" applyFont="1" applyFill="1" applyBorder="1" applyAlignment="1" applyProtection="1">
      <alignment horizontal="right" vertical="center"/>
      <protection locked="0"/>
    </xf>
    <xf numFmtId="0" fontId="39" fillId="0" borderId="143" xfId="1" applyFont="1" applyBorder="1" applyAlignment="1" applyProtection="1">
      <alignment horizontal="left" vertical="top"/>
      <protection locked="0"/>
    </xf>
    <xf numFmtId="0" fontId="39" fillId="0" borderId="144" xfId="1" applyFont="1" applyBorder="1" applyAlignment="1" applyProtection="1">
      <alignment horizontal="left" vertical="top"/>
      <protection locked="0"/>
    </xf>
    <xf numFmtId="0" fontId="39" fillId="0" borderId="145" xfId="1" applyFont="1" applyBorder="1" applyAlignment="1" applyProtection="1">
      <alignment horizontal="left" vertical="top"/>
      <protection locked="0"/>
    </xf>
    <xf numFmtId="0" fontId="52" fillId="0" borderId="146" xfId="1" applyFont="1" applyBorder="1" applyAlignment="1" applyProtection="1">
      <alignment horizontal="center" vertical="center"/>
      <protection locked="0"/>
    </xf>
    <xf numFmtId="2" fontId="56" fillId="4" borderId="147" xfId="1" applyNumberFormat="1" applyFont="1" applyFill="1" applyBorder="1" applyAlignment="1" applyProtection="1">
      <alignment horizontal="right" vertical="center"/>
      <protection locked="0"/>
    </xf>
    <xf numFmtId="2" fontId="56" fillId="11" borderId="95" xfId="1" applyNumberFormat="1" applyFont="1" applyFill="1" applyBorder="1" applyAlignment="1" applyProtection="1">
      <alignment horizontal="right" vertical="center"/>
      <protection locked="0" hidden="1"/>
    </xf>
    <xf numFmtId="2" fontId="56" fillId="11" borderId="147" xfId="1" applyNumberFormat="1" applyFont="1" applyFill="1" applyBorder="1" applyAlignment="1" applyProtection="1">
      <alignment horizontal="right" vertical="center"/>
      <protection locked="0" hidden="1"/>
    </xf>
    <xf numFmtId="0" fontId="115" fillId="0" borderId="87" xfId="1" applyFont="1" applyBorder="1" applyAlignment="1" applyProtection="1">
      <alignment horizontal="left" vertical="center"/>
      <protection hidden="1"/>
    </xf>
    <xf numFmtId="0" fontId="115" fillId="0" borderId="88" xfId="1" applyFont="1" applyBorder="1" applyAlignment="1" applyProtection="1">
      <alignment horizontal="left" vertical="center"/>
      <protection hidden="1"/>
    </xf>
    <xf numFmtId="0" fontId="115" fillId="0" borderId="24" xfId="1" applyFont="1" applyBorder="1" applyAlignment="1" applyProtection="1">
      <alignment horizontal="left" vertical="center"/>
      <protection hidden="1"/>
    </xf>
    <xf numFmtId="0" fontId="115" fillId="0" borderId="90" xfId="1" applyFont="1" applyBorder="1" applyAlignment="1" applyProtection="1">
      <alignment horizontal="left" vertical="center"/>
      <protection hidden="1"/>
    </xf>
    <xf numFmtId="2" fontId="117" fillId="0" borderId="24" xfId="1" applyNumberFormat="1" applyFont="1" applyBorder="1" applyAlignment="1" applyProtection="1">
      <alignment horizontal="center" vertical="center"/>
      <protection hidden="1"/>
    </xf>
    <xf numFmtId="0" fontId="112" fillId="0" borderId="25" xfId="1" applyFont="1" applyFill="1" applyBorder="1" applyAlignment="1" applyProtection="1">
      <alignment vertical="center"/>
      <protection hidden="1"/>
    </xf>
    <xf numFmtId="0" fontId="112" fillId="0" borderId="102" xfId="1" applyFont="1" applyFill="1" applyBorder="1" applyAlignment="1" applyProtection="1">
      <alignment vertical="center"/>
      <protection hidden="1"/>
    </xf>
    <xf numFmtId="0" fontId="112" fillId="0" borderId="26" xfId="1" applyFont="1" applyFill="1" applyBorder="1" applyAlignment="1" applyProtection="1">
      <alignment vertical="center"/>
      <protection hidden="1"/>
    </xf>
    <xf numFmtId="0" fontId="111" fillId="16" borderId="24" xfId="1" applyFont="1" applyFill="1" applyBorder="1" applyAlignment="1" applyProtection="1">
      <alignment horizontal="center" vertical="center"/>
      <protection hidden="1"/>
    </xf>
    <xf numFmtId="0" fontId="111" fillId="16" borderId="90" xfId="1" applyFont="1" applyFill="1" applyBorder="1" applyAlignment="1" applyProtection="1">
      <alignment horizontal="center" vertical="center"/>
      <protection hidden="1"/>
    </xf>
    <xf numFmtId="2" fontId="117" fillId="14" borderId="24" xfId="1" applyNumberFormat="1" applyFont="1" applyFill="1" applyBorder="1" applyAlignment="1" applyProtection="1">
      <alignment horizontal="center" vertical="center"/>
      <protection hidden="1"/>
    </xf>
    <xf numFmtId="0" fontId="112" fillId="0" borderId="24" xfId="1" applyFont="1" applyFill="1" applyBorder="1" applyAlignment="1" applyProtection="1">
      <alignment vertical="center"/>
      <protection hidden="1"/>
    </xf>
    <xf numFmtId="0" fontId="114" fillId="0" borderId="24" xfId="1" applyFont="1" applyBorder="1" applyAlignment="1" applyProtection="1">
      <alignment horizontal="left" vertical="center"/>
      <protection hidden="1"/>
    </xf>
    <xf numFmtId="0" fontId="115" fillId="0" borderId="24" xfId="1" applyFont="1" applyBorder="1" applyAlignment="1" applyProtection="1">
      <alignment horizontal="right" vertical="center"/>
      <protection hidden="1"/>
    </xf>
    <xf numFmtId="2" fontId="118" fillId="0" borderId="24" xfId="1" applyNumberFormat="1" applyFont="1" applyBorder="1" applyAlignment="1" applyProtection="1">
      <alignment horizontal="center" vertical="center"/>
      <protection hidden="1"/>
    </xf>
    <xf numFmtId="0" fontId="119" fillId="0" borderId="24" xfId="1" applyFont="1" applyBorder="1" applyAlignment="1" applyProtection="1">
      <alignment vertical="center"/>
      <protection hidden="1"/>
    </xf>
    <xf numFmtId="2" fontId="48" fillId="0" borderId="24" xfId="1" applyNumberFormat="1" applyFont="1" applyBorder="1" applyAlignment="1" applyProtection="1">
      <alignment horizontal="center" vertical="center"/>
      <protection hidden="1"/>
    </xf>
    <xf numFmtId="0" fontId="46" fillId="0" borderId="24" xfId="1" applyFont="1" applyBorder="1" applyAlignment="1" applyProtection="1">
      <alignment horizontal="center" vertical="center"/>
      <protection hidden="1"/>
    </xf>
    <xf numFmtId="0" fontId="46" fillId="0" borderId="24" xfId="1" applyFont="1" applyBorder="1" applyAlignment="1" applyProtection="1">
      <alignment horizontal="left" vertical="center" wrapText="1"/>
      <protection hidden="1"/>
    </xf>
    <xf numFmtId="0" fontId="46" fillId="0" borderId="24" xfId="1" applyFont="1" applyBorder="1" applyAlignment="1" applyProtection="1">
      <alignment horizontal="center" vertical="top"/>
      <protection hidden="1"/>
    </xf>
    <xf numFmtId="0" fontId="7" fillId="0" borderId="24" xfId="1" applyFont="1" applyBorder="1" applyAlignment="1" applyProtection="1">
      <alignment horizontal="center" vertical="center"/>
      <protection hidden="1"/>
    </xf>
    <xf numFmtId="2" fontId="19" fillId="0" borderId="24" xfId="1" applyNumberFormat="1" applyFont="1" applyBorder="1" applyAlignment="1" applyProtection="1">
      <alignment horizontal="center" vertical="center"/>
      <protection hidden="1"/>
    </xf>
    <xf numFmtId="0" fontId="0" fillId="19" borderId="0" xfId="0" applyFill="1" applyAlignment="1" applyProtection="1">
      <alignment vertical="center"/>
      <protection hidden="1"/>
    </xf>
    <xf numFmtId="2" fontId="17" fillId="0" borderId="24" xfId="0" applyNumberFormat="1" applyFont="1" applyBorder="1" applyAlignment="1" applyProtection="1">
      <alignment horizontal="left" vertical="center" wrapText="1"/>
      <protection hidden="1"/>
    </xf>
    <xf numFmtId="2" fontId="109" fillId="0" borderId="90" xfId="1" applyNumberFormat="1" applyFont="1" applyBorder="1" applyAlignment="1" applyProtection="1">
      <alignment horizontal="right" vertical="center"/>
      <protection hidden="1"/>
    </xf>
  </cellXfs>
  <cellStyles count="6">
    <cellStyle name="Comma 2" xfId="4"/>
    <cellStyle name="Hyperlink" xfId="5" builtinId="8"/>
    <cellStyle name="Normal" xfId="0" builtinId="0"/>
    <cellStyle name="Normal 2" xfId="1"/>
    <cellStyle name="Normal 3" xfId="3"/>
    <cellStyle name="Normal_pay 2008-09" xfId="2"/>
  </cellStyles>
  <dxfs count="25">
    <dxf>
      <font>
        <color rgb="FF002060"/>
      </font>
      <fill>
        <patternFill>
          <bgColor rgb="FF92D050"/>
        </patternFill>
      </fill>
    </dxf>
    <dxf>
      <font>
        <color theme="0"/>
      </font>
      <fill>
        <patternFill>
          <bgColor rgb="FFFF0000"/>
        </patternFill>
      </fill>
    </dxf>
    <dxf>
      <fill>
        <patternFill>
          <bgColor theme="0"/>
        </patternFill>
      </fill>
    </dxf>
    <dxf>
      <font>
        <color rgb="FF002060"/>
      </font>
      <fill>
        <patternFill>
          <bgColor rgb="FF92D050"/>
        </patternFill>
      </fill>
    </dxf>
    <dxf>
      <font>
        <color rgb="FF002060"/>
      </font>
      <fill>
        <patternFill>
          <bgColor rgb="FFFF0000"/>
        </patternFill>
      </fill>
    </dxf>
    <dxf>
      <fill>
        <patternFill>
          <bgColor theme="0"/>
        </patternFill>
      </fill>
    </dxf>
    <dxf>
      <font>
        <color theme="0"/>
      </font>
    </dxf>
    <dxf>
      <font>
        <color rgb="FF006600"/>
      </font>
    </dxf>
    <dxf>
      <font>
        <color rgb="FFFF0000"/>
      </font>
    </dxf>
    <dxf>
      <font>
        <color rgb="FF006600"/>
      </font>
    </dxf>
    <dxf>
      <font>
        <color rgb="FFFF0000"/>
      </font>
    </dxf>
    <dxf>
      <font>
        <color theme="0"/>
      </font>
    </dxf>
    <dxf>
      <font>
        <color rgb="FF006600"/>
      </font>
    </dxf>
    <dxf>
      <font>
        <color rgb="FFFF0000"/>
      </font>
    </dxf>
    <dxf>
      <font>
        <color rgb="FF006600"/>
      </font>
    </dxf>
    <dxf>
      <font>
        <color rgb="FFFF0000"/>
      </font>
    </dxf>
    <dxf>
      <font>
        <color rgb="FF002060"/>
      </font>
      <fill>
        <patternFill>
          <bgColor rgb="FF92D050"/>
        </patternFill>
      </fill>
    </dxf>
    <dxf>
      <font>
        <color rgb="FF002060"/>
      </font>
      <fill>
        <patternFill>
          <bgColor rgb="FFFF0000"/>
        </patternFill>
      </fill>
    </dxf>
    <dxf>
      <font>
        <color theme="0"/>
      </font>
    </dxf>
    <dxf>
      <font>
        <color rgb="FF006600"/>
      </font>
    </dxf>
    <dxf>
      <font>
        <color rgb="FFFF0000"/>
      </font>
    </dxf>
    <dxf>
      <font>
        <color rgb="FF006600"/>
      </font>
    </dxf>
    <dxf>
      <font>
        <color rgb="FFFF0000"/>
      </font>
    </dxf>
    <dxf>
      <font>
        <color theme="0"/>
      </font>
    </dxf>
    <dxf>
      <font>
        <color theme="0"/>
      </font>
    </dxf>
  </dxfs>
  <tableStyles count="0" defaultTableStyle="TableStyleMedium9" defaultPivotStyle="PivotStyleLight16"/>
  <colors>
    <mruColors>
      <color rgb="FF006600"/>
    </mruColors>
  </colors>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6</xdr:col>
      <xdr:colOff>28576</xdr:colOff>
      <xdr:row>3</xdr:row>
      <xdr:rowOff>28576</xdr:rowOff>
    </xdr:from>
    <xdr:to>
      <xdr:col>6</xdr:col>
      <xdr:colOff>2171699</xdr:colOff>
      <xdr:row>9</xdr:row>
      <xdr:rowOff>9525</xdr:rowOff>
    </xdr:to>
    <xdr:pic>
      <xdr:nvPicPr>
        <xdr:cNvPr id="2" name="Picture 1" descr="IMG_20220427_183058_453.jpg"/>
        <xdr:cNvPicPr>
          <a:picLocks noChangeAspect="1"/>
        </xdr:cNvPicPr>
      </xdr:nvPicPr>
      <xdr:blipFill>
        <a:blip xmlns:r="http://schemas.openxmlformats.org/officeDocument/2006/relationships" r:embed="rId1" cstate="print"/>
        <a:stretch>
          <a:fillRect/>
        </a:stretch>
      </xdr:blipFill>
      <xdr:spPr>
        <a:xfrm>
          <a:off x="9448801" y="971551"/>
          <a:ext cx="2143123" cy="2124074"/>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bcaus-form-10e-ay-2021-2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data"/>
      <sheetName val="Table-A"/>
      <sheetName val="Annexure-I"/>
      <sheetName val="Form10E"/>
      <sheetName val="Macro-disabled"/>
    </sheetNames>
    <sheetDataSet>
      <sheetData sheetId="0">
        <row r="4">
          <cell r="N4" t="str">
            <v>Resident</v>
          </cell>
        </row>
        <row r="5">
          <cell r="N5" t="str">
            <v>Not Ordinarily Resident</v>
          </cell>
        </row>
        <row r="6">
          <cell r="N6" t="str">
            <v>Non-Resident</v>
          </cell>
        </row>
      </sheetData>
      <sheetData sheetId="1"/>
      <sheetData sheetId="2">
        <row r="23">
          <cell r="I23" t="str">
            <v>Yes</v>
          </cell>
        </row>
        <row r="24">
          <cell r="I24" t="str">
            <v>No</v>
          </cell>
        </row>
      </sheetData>
      <sheetData sheetId="3"/>
      <sheetData sheetId="4"/>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youtu.be/k86E5ayh3aU"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sheetPr>
    <tabColor rgb="FF006600"/>
  </sheetPr>
  <dimension ref="A1:H13"/>
  <sheetViews>
    <sheetView showGridLines="0" showRowColHeaders="0" tabSelected="1" workbookViewId="0">
      <selection activeCell="D2" sqref="D2:G2"/>
    </sheetView>
  </sheetViews>
  <sheetFormatPr defaultColWidth="0" defaultRowHeight="15" zeroHeight="1"/>
  <cols>
    <col min="1" max="1" width="2.28515625" style="1" customWidth="1"/>
    <col min="2" max="2" width="92" style="109" customWidth="1"/>
    <col min="3" max="3" width="2.28515625" style="109" customWidth="1"/>
    <col min="4" max="4" width="38.7109375" style="109" customWidth="1"/>
    <col min="5" max="5" width="2.28515625" style="1" customWidth="1"/>
    <col min="6" max="6" width="3.7109375" style="1" customWidth="1"/>
    <col min="7" max="7" width="33" style="1" customWidth="1"/>
    <col min="8" max="8" width="3.140625" style="1" customWidth="1"/>
    <col min="9" max="16384" width="9.140625" style="1" hidden="1"/>
  </cols>
  <sheetData>
    <row r="1" spans="1:8" ht="6" customHeight="1">
      <c r="A1" s="263"/>
      <c r="B1" s="263"/>
      <c r="C1" s="263"/>
      <c r="D1" s="263"/>
      <c r="E1" s="263"/>
      <c r="F1" s="263"/>
      <c r="G1" s="263"/>
      <c r="H1" s="263"/>
    </row>
    <row r="2" spans="1:8" ht="62.25" customHeight="1">
      <c r="A2" s="199"/>
      <c r="B2" s="264" t="s">
        <v>264</v>
      </c>
      <c r="C2" s="264"/>
      <c r="D2" s="269" t="s">
        <v>266</v>
      </c>
      <c r="E2" s="269"/>
      <c r="F2" s="269"/>
      <c r="G2" s="269"/>
      <c r="H2" s="199"/>
    </row>
    <row r="3" spans="1:8" ht="6" customHeight="1" thickBot="1">
      <c r="A3" s="199"/>
      <c r="B3" s="199"/>
      <c r="C3" s="200"/>
      <c r="D3" s="199"/>
      <c r="E3" s="199"/>
      <c r="F3" s="263"/>
      <c r="G3" s="199"/>
      <c r="H3" s="199"/>
    </row>
    <row r="4" spans="1:8" s="166" customFormat="1" ht="24.75" customHeight="1">
      <c r="A4" s="263"/>
      <c r="B4" s="208" t="s">
        <v>265</v>
      </c>
      <c r="C4" s="200"/>
      <c r="D4" s="267" t="s">
        <v>234</v>
      </c>
      <c r="E4" s="200"/>
      <c r="F4" s="263"/>
      <c r="G4" s="265"/>
      <c r="H4" s="266"/>
    </row>
    <row r="5" spans="1:8" s="6" customFormat="1" ht="18.75" customHeight="1" thickBot="1">
      <c r="A5" s="263"/>
      <c r="B5" s="270" t="s">
        <v>263</v>
      </c>
      <c r="C5" s="200"/>
      <c r="D5" s="268"/>
      <c r="E5" s="200"/>
      <c r="F5" s="263"/>
      <c r="G5" s="265"/>
      <c r="H5" s="266"/>
    </row>
    <row r="6" spans="1:8" s="6" customFormat="1" ht="29.25" customHeight="1" thickBot="1">
      <c r="A6" s="263"/>
      <c r="B6" s="271"/>
      <c r="C6" s="200"/>
      <c r="D6" s="167"/>
      <c r="E6" s="200"/>
      <c r="F6" s="263"/>
      <c r="G6" s="265"/>
      <c r="H6" s="266"/>
    </row>
    <row r="7" spans="1:8" s="6" customFormat="1" ht="34.5" customHeight="1" thickBot="1">
      <c r="A7" s="263"/>
      <c r="B7" s="271"/>
      <c r="C7" s="200"/>
      <c r="D7" s="204" t="s">
        <v>262</v>
      </c>
      <c r="E7" s="200"/>
      <c r="F7" s="263"/>
      <c r="G7" s="265"/>
      <c r="H7" s="266"/>
    </row>
    <row r="8" spans="1:8" s="6" customFormat="1" ht="29.25" customHeight="1" thickBot="1">
      <c r="A8" s="263"/>
      <c r="B8" s="271"/>
      <c r="C8" s="200"/>
      <c r="D8" s="167"/>
      <c r="E8" s="200"/>
      <c r="F8" s="263"/>
      <c r="G8" s="198"/>
      <c r="H8" s="266"/>
    </row>
    <row r="9" spans="1:8" s="6" customFormat="1" ht="32.25" customHeight="1" thickBot="1">
      <c r="A9" s="263"/>
      <c r="B9" s="271"/>
      <c r="C9" s="200"/>
      <c r="D9" s="203" t="s">
        <v>235</v>
      </c>
      <c r="E9" s="200"/>
      <c r="F9" s="263"/>
      <c r="G9" s="273" t="s">
        <v>237</v>
      </c>
      <c r="H9" s="266"/>
    </row>
    <row r="10" spans="1:8" s="6" customFormat="1" ht="29.25" customHeight="1" thickBot="1">
      <c r="A10" s="263"/>
      <c r="B10" s="271"/>
      <c r="C10" s="200"/>
      <c r="D10" s="167"/>
      <c r="E10" s="200"/>
      <c r="F10" s="263"/>
      <c r="G10" s="273"/>
      <c r="H10" s="266"/>
    </row>
    <row r="11" spans="1:8" s="6" customFormat="1" ht="30.75" customHeight="1" thickBot="1">
      <c r="A11" s="263"/>
      <c r="B11" s="272"/>
      <c r="C11" s="200"/>
      <c r="D11" s="202" t="s">
        <v>236</v>
      </c>
      <c r="E11" s="200"/>
      <c r="F11" s="263"/>
      <c r="G11" s="205" t="s">
        <v>258</v>
      </c>
      <c r="H11" s="266"/>
    </row>
    <row r="12" spans="1:8" s="6" customFormat="1" ht="36.75" customHeight="1" thickBot="1">
      <c r="A12" s="263"/>
      <c r="B12" s="207" t="s">
        <v>233</v>
      </c>
      <c r="C12" s="200"/>
      <c r="D12" s="201" t="s">
        <v>289</v>
      </c>
      <c r="E12" s="200"/>
      <c r="F12" s="263"/>
      <c r="G12" s="206" t="s">
        <v>259</v>
      </c>
      <c r="H12" s="266"/>
    </row>
    <row r="13" spans="1:8" s="6" customFormat="1" ht="8.25" customHeight="1">
      <c r="A13" s="263"/>
      <c r="B13" s="168"/>
      <c r="C13" s="200"/>
      <c r="D13" s="167"/>
      <c r="E13" s="200"/>
      <c r="F13" s="263"/>
      <c r="G13" s="169"/>
      <c r="H13" s="266"/>
    </row>
  </sheetData>
  <sheetProtection password="E8FA" sheet="1" objects="1" scenarios="1" formatCells="0" formatColumns="0" selectLockedCells="1"/>
  <mergeCells count="10">
    <mergeCell ref="A1:H1"/>
    <mergeCell ref="F3:F13"/>
    <mergeCell ref="B2:C2"/>
    <mergeCell ref="G4:G7"/>
    <mergeCell ref="H4:H13"/>
    <mergeCell ref="A4:A13"/>
    <mergeCell ref="D4:D5"/>
    <mergeCell ref="D2:G2"/>
    <mergeCell ref="B5:B11"/>
    <mergeCell ref="G9:G10"/>
  </mergeCells>
  <hyperlinks>
    <hyperlink ref="D4:D5" location="'Income Tax Cal. Report'!A1" display="'Income Tax Cal. Report'!A1"/>
    <hyperlink ref="D7" location="'GA-55'!A1" display="Form-16 देखें"/>
    <hyperlink ref="D11" location="'HRA Receipt'!A1" display="Form-16 देखें"/>
    <hyperlink ref="D9" location="'Form-16'!A1" display="'Form-16'!A1"/>
    <hyperlink ref="D2:G2" r:id="rId1" display="https://youtu.be/k86E5ayh3aU"/>
  </hyperlinks>
  <pageMargins left="0.7" right="0.7" top="0.75" bottom="0.75" header="0.3" footer="0.3"/>
  <pageSetup paperSize="9" orientation="portrait" r:id="rId2"/>
  <drawing r:id="rId3"/>
</worksheet>
</file>

<file path=xl/worksheets/sheet2.xml><?xml version="1.0" encoding="utf-8"?>
<worksheet xmlns="http://schemas.openxmlformats.org/spreadsheetml/2006/main" xmlns:r="http://schemas.openxmlformats.org/officeDocument/2006/relationships">
  <sheetPr>
    <tabColor rgb="FFFF0000"/>
  </sheetPr>
  <dimension ref="A1:R34"/>
  <sheetViews>
    <sheetView showGridLines="0" showRowColHeaders="0" topLeftCell="A4" zoomScaleSheetLayoutView="106" workbookViewId="0">
      <selection activeCell="B10" sqref="B10:C10"/>
    </sheetView>
  </sheetViews>
  <sheetFormatPr defaultColWidth="0" defaultRowHeight="15" zeroHeight="1"/>
  <cols>
    <col min="1" max="1" width="2" style="1" customWidth="1"/>
    <col min="2" max="2" width="11.7109375" style="10" customWidth="1"/>
    <col min="3" max="3" width="10.28515625" style="10" customWidth="1"/>
    <col min="4" max="5" width="11.7109375" style="10" customWidth="1"/>
    <col min="6" max="6" width="14.28515625" style="1" customWidth="1"/>
    <col min="7" max="7" width="13.7109375" style="1" customWidth="1"/>
    <col min="8" max="8" width="15" style="1" customWidth="1"/>
    <col min="9" max="9" width="11" style="1" customWidth="1"/>
    <col min="10" max="10" width="10.28515625" style="1" customWidth="1"/>
    <col min="11" max="11" width="9.42578125" style="1" customWidth="1"/>
    <col min="12" max="12" width="11.42578125" style="1" customWidth="1"/>
    <col min="13" max="13" width="10" style="1" customWidth="1"/>
    <col min="14" max="15" width="9.42578125" style="1" customWidth="1"/>
    <col min="16" max="16" width="11" style="1" customWidth="1"/>
    <col min="17" max="17" width="16.28515625" style="1" customWidth="1"/>
    <col min="18" max="18" width="2.42578125" style="1" customWidth="1"/>
    <col min="19" max="16384" width="6.85546875" style="1" hidden="1"/>
  </cols>
  <sheetData>
    <row r="1" spans="1:18" ht="21.75" hidden="1" customHeight="1" thickBot="1">
      <c r="A1" s="311"/>
      <c r="B1" s="303" t="s">
        <v>0</v>
      </c>
      <c r="C1" s="304"/>
      <c r="D1" s="304"/>
      <c r="E1" s="304"/>
      <c r="F1" s="304"/>
      <c r="G1" s="304"/>
      <c r="H1" s="304"/>
      <c r="I1" s="304"/>
      <c r="J1" s="304"/>
      <c r="K1" s="304"/>
      <c r="L1" s="304"/>
      <c r="M1" s="304"/>
      <c r="N1" s="304"/>
      <c r="O1" s="304"/>
      <c r="P1" s="304"/>
      <c r="Q1" s="304"/>
      <c r="R1" s="309"/>
    </row>
    <row r="2" spans="1:18" ht="19.5" hidden="1" customHeight="1" thickBot="1">
      <c r="A2" s="312"/>
      <c r="B2" s="305" t="s">
        <v>3</v>
      </c>
      <c r="C2" s="306"/>
      <c r="D2" s="306"/>
      <c r="E2" s="306"/>
      <c r="F2" s="306"/>
      <c r="G2" s="306"/>
      <c r="H2" s="306"/>
      <c r="I2" s="306"/>
      <c r="J2" s="306"/>
      <c r="K2" s="306"/>
      <c r="L2" s="306"/>
      <c r="M2" s="306"/>
      <c r="N2" s="306"/>
      <c r="O2" s="306"/>
      <c r="P2" s="306"/>
      <c r="Q2" s="306"/>
      <c r="R2" s="310"/>
    </row>
    <row r="3" spans="1:18" ht="23.25" hidden="1" customHeight="1" thickBot="1">
      <c r="A3" s="312"/>
      <c r="B3" s="307" t="s">
        <v>13</v>
      </c>
      <c r="C3" s="308"/>
      <c r="D3" s="308"/>
      <c r="E3" s="308"/>
      <c r="F3" s="308"/>
      <c r="G3" s="308"/>
      <c r="H3" s="308"/>
      <c r="I3" s="308"/>
      <c r="J3" s="308"/>
      <c r="K3" s="308"/>
      <c r="L3" s="308"/>
      <c r="M3" s="308"/>
      <c r="N3" s="308"/>
      <c r="O3" s="308"/>
      <c r="P3" s="308"/>
      <c r="Q3" s="308"/>
      <c r="R3" s="310"/>
    </row>
    <row r="4" spans="1:18" s="2" customFormat="1" ht="22.5" customHeight="1" thickBot="1">
      <c r="A4" s="312"/>
      <c r="B4" s="325" t="s">
        <v>261</v>
      </c>
      <c r="C4" s="325"/>
      <c r="D4" s="325"/>
      <c r="E4" s="325"/>
      <c r="F4" s="325"/>
      <c r="G4" s="325"/>
      <c r="H4" s="325"/>
      <c r="I4" s="325"/>
      <c r="J4" s="325"/>
      <c r="K4" s="325"/>
      <c r="L4" s="325"/>
      <c r="M4" s="325"/>
      <c r="N4" s="325"/>
      <c r="O4" s="325"/>
      <c r="P4" s="325"/>
      <c r="Q4" s="325"/>
      <c r="R4" s="310"/>
    </row>
    <row r="5" spans="1:18" s="106" customFormat="1" ht="21.75" customHeight="1" thickBot="1">
      <c r="A5" s="312"/>
      <c r="B5" s="319" t="s">
        <v>111</v>
      </c>
      <c r="C5" s="320"/>
      <c r="D5" s="320"/>
      <c r="E5" s="320"/>
      <c r="F5" s="321"/>
      <c r="G5" s="341" t="s">
        <v>1</v>
      </c>
      <c r="H5" s="342"/>
      <c r="I5" s="342"/>
      <c r="J5" s="342"/>
      <c r="K5" s="342"/>
      <c r="L5" s="343"/>
      <c r="M5" s="315" t="s">
        <v>28</v>
      </c>
      <c r="N5" s="316"/>
      <c r="O5" s="331">
        <v>12345</v>
      </c>
      <c r="P5" s="332"/>
      <c r="Q5" s="217" t="s">
        <v>240</v>
      </c>
      <c r="R5" s="310"/>
    </row>
    <row r="6" spans="1:18" s="106" customFormat="1" ht="20.25" customHeight="1" thickBot="1">
      <c r="A6" s="312"/>
      <c r="B6" s="322" t="s">
        <v>30</v>
      </c>
      <c r="C6" s="323"/>
      <c r="D6" s="323"/>
      <c r="E6" s="323"/>
      <c r="F6" s="324"/>
      <c r="G6" s="313" t="s">
        <v>2</v>
      </c>
      <c r="H6" s="314"/>
      <c r="I6" s="350" t="s">
        <v>27</v>
      </c>
      <c r="J6" s="351"/>
      <c r="K6" s="313" t="s">
        <v>239</v>
      </c>
      <c r="L6" s="314"/>
      <c r="M6" s="317" t="s">
        <v>29</v>
      </c>
      <c r="N6" s="318"/>
      <c r="O6" s="348"/>
      <c r="P6" s="349"/>
      <c r="Q6" s="190" t="s">
        <v>231</v>
      </c>
      <c r="R6" s="310"/>
    </row>
    <row r="7" spans="1:18" s="106" customFormat="1" ht="6.75" customHeight="1" thickBot="1">
      <c r="A7" s="312"/>
      <c r="B7" s="283"/>
      <c r="C7" s="284"/>
      <c r="D7" s="284"/>
      <c r="E7" s="284"/>
      <c r="F7" s="284"/>
      <c r="G7" s="284"/>
      <c r="H7" s="284"/>
      <c r="I7" s="284"/>
      <c r="J7" s="284"/>
      <c r="K7" s="284"/>
      <c r="L7" s="284"/>
      <c r="M7" s="284"/>
      <c r="N7" s="284"/>
      <c r="O7" s="284"/>
      <c r="P7" s="284"/>
      <c r="Q7" s="285"/>
      <c r="R7" s="310"/>
    </row>
    <row r="8" spans="1:18" s="106" customFormat="1" ht="21" customHeight="1" thickBot="1">
      <c r="A8" s="312"/>
      <c r="B8" s="326" t="s">
        <v>215</v>
      </c>
      <c r="C8" s="327"/>
      <c r="D8" s="327"/>
      <c r="E8" s="327"/>
      <c r="F8" s="327"/>
      <c r="G8" s="327"/>
      <c r="H8" s="327"/>
      <c r="I8" s="327"/>
      <c r="J8" s="327"/>
      <c r="K8" s="327"/>
      <c r="L8" s="327"/>
      <c r="M8" s="327"/>
      <c r="N8" s="327"/>
      <c r="O8" s="327"/>
      <c r="P8" s="327"/>
      <c r="Q8" s="328"/>
      <c r="R8" s="310"/>
    </row>
    <row r="9" spans="1:18" s="5" customFormat="1" ht="45" customHeight="1" thickBot="1">
      <c r="A9" s="312"/>
      <c r="B9" s="344" t="s">
        <v>9</v>
      </c>
      <c r="C9" s="277"/>
      <c r="D9" s="276" t="s">
        <v>248</v>
      </c>
      <c r="E9" s="277"/>
      <c r="F9" s="276" t="s">
        <v>10</v>
      </c>
      <c r="G9" s="276"/>
      <c r="H9" s="218" t="s">
        <v>11</v>
      </c>
      <c r="I9" s="347" t="s">
        <v>110</v>
      </c>
      <c r="J9" s="347"/>
      <c r="K9" s="347"/>
      <c r="L9" s="219" t="s">
        <v>12</v>
      </c>
      <c r="M9" s="220" t="s">
        <v>241</v>
      </c>
      <c r="N9" s="217" t="s">
        <v>56</v>
      </c>
      <c r="O9" s="345" t="s">
        <v>7</v>
      </c>
      <c r="P9" s="277"/>
      <c r="Q9" s="221" t="s">
        <v>242</v>
      </c>
      <c r="R9" s="310"/>
    </row>
    <row r="10" spans="1:18" s="106" customFormat="1" ht="29.25" customHeight="1" thickBot="1">
      <c r="A10" s="312"/>
      <c r="B10" s="352"/>
      <c r="C10" s="353"/>
      <c r="D10" s="278" t="s">
        <v>249</v>
      </c>
      <c r="E10" s="279"/>
      <c r="F10" s="354"/>
      <c r="G10" s="354"/>
      <c r="H10" s="44"/>
      <c r="I10" s="355" t="str">
        <f>G5</f>
        <v>Govt. Sr. School Raimalwada</v>
      </c>
      <c r="J10" s="356"/>
      <c r="K10" s="357"/>
      <c r="L10" s="45">
        <v>12</v>
      </c>
      <c r="M10" s="637">
        <v>38000</v>
      </c>
      <c r="N10" s="95"/>
      <c r="O10" s="346"/>
      <c r="P10" s="279"/>
      <c r="Q10" s="46" t="s">
        <v>218</v>
      </c>
      <c r="R10" s="310"/>
    </row>
    <row r="11" spans="1:18" s="106" customFormat="1" ht="7.5" customHeight="1" thickBot="1">
      <c r="A11" s="312"/>
      <c r="B11" s="280"/>
      <c r="C11" s="281"/>
      <c r="D11" s="281"/>
      <c r="E11" s="281"/>
      <c r="F11" s="281"/>
      <c r="G11" s="281"/>
      <c r="H11" s="281"/>
      <c r="I11" s="281"/>
      <c r="J11" s="281"/>
      <c r="K11" s="281"/>
      <c r="L11" s="281"/>
      <c r="M11" s="281"/>
      <c r="N11" s="281"/>
      <c r="O11" s="281"/>
      <c r="P11" s="282"/>
      <c r="Q11" s="96"/>
      <c r="R11" s="310"/>
    </row>
    <row r="12" spans="1:18" s="106" customFormat="1" ht="14.25" customHeight="1">
      <c r="A12" s="312"/>
      <c r="B12" s="290" t="s">
        <v>214</v>
      </c>
      <c r="C12" s="302" t="s">
        <v>17</v>
      </c>
      <c r="D12" s="300"/>
      <c r="E12" s="300"/>
      <c r="F12" s="300"/>
      <c r="G12" s="300"/>
      <c r="H12" s="300"/>
      <c r="I12" s="300"/>
      <c r="J12" s="300"/>
      <c r="K12" s="301"/>
      <c r="L12" s="299" t="s">
        <v>16</v>
      </c>
      <c r="M12" s="300"/>
      <c r="N12" s="300"/>
      <c r="O12" s="300"/>
      <c r="P12" s="300"/>
      <c r="Q12" s="301"/>
      <c r="R12" s="310"/>
    </row>
    <row r="13" spans="1:18" s="11" customFormat="1" ht="17.25" customHeight="1">
      <c r="A13" s="312"/>
      <c r="B13" s="291"/>
      <c r="C13" s="358" t="s">
        <v>24</v>
      </c>
      <c r="D13" s="222" t="s">
        <v>244</v>
      </c>
      <c r="E13" s="222" t="s">
        <v>244</v>
      </c>
      <c r="F13" s="222" t="s">
        <v>247</v>
      </c>
      <c r="G13" s="222" t="s">
        <v>247</v>
      </c>
      <c r="H13" s="295" t="s">
        <v>14</v>
      </c>
      <c r="I13" s="296"/>
      <c r="J13" s="293" t="s">
        <v>98</v>
      </c>
      <c r="K13" s="297" t="s">
        <v>99</v>
      </c>
      <c r="L13" s="288" t="s">
        <v>19</v>
      </c>
      <c r="M13" s="286" t="s">
        <v>20</v>
      </c>
      <c r="N13" s="286" t="s">
        <v>21</v>
      </c>
      <c r="O13" s="286" t="s">
        <v>22</v>
      </c>
      <c r="P13" s="286" t="s">
        <v>23</v>
      </c>
      <c r="Q13" s="329" t="s">
        <v>95</v>
      </c>
      <c r="R13" s="310"/>
    </row>
    <row r="14" spans="1:18" s="106" customFormat="1" ht="15.75" customHeight="1" thickBot="1">
      <c r="A14" s="312"/>
      <c r="B14" s="292"/>
      <c r="C14" s="359"/>
      <c r="D14" s="223" t="s">
        <v>245</v>
      </c>
      <c r="E14" s="223" t="s">
        <v>246</v>
      </c>
      <c r="F14" s="223" t="s">
        <v>243</v>
      </c>
      <c r="G14" s="223" t="s">
        <v>273</v>
      </c>
      <c r="H14" s="224" t="s">
        <v>15</v>
      </c>
      <c r="I14" s="225" t="s">
        <v>6</v>
      </c>
      <c r="J14" s="294"/>
      <c r="K14" s="298"/>
      <c r="L14" s="289"/>
      <c r="M14" s="287"/>
      <c r="N14" s="287"/>
      <c r="O14" s="287"/>
      <c r="P14" s="287"/>
      <c r="Q14" s="330"/>
      <c r="R14" s="310"/>
    </row>
    <row r="15" spans="1:18" s="106" customFormat="1" ht="26.25" customHeight="1" thickBot="1">
      <c r="A15" s="312"/>
      <c r="B15" s="165" t="s">
        <v>25</v>
      </c>
      <c r="C15" s="43">
        <f>IF(OR(B15="Probation",D10="state Service",L10&gt;=13),0,6774)</f>
        <v>6774</v>
      </c>
      <c r="D15" s="197">
        <v>0.42</v>
      </c>
      <c r="E15" s="197">
        <v>0.46</v>
      </c>
      <c r="F15" s="47" t="s">
        <v>26</v>
      </c>
      <c r="G15" s="47" t="s">
        <v>26</v>
      </c>
      <c r="H15" s="48" t="s">
        <v>26</v>
      </c>
      <c r="I15" s="49">
        <v>45200</v>
      </c>
      <c r="J15" s="49" t="s">
        <v>226</v>
      </c>
      <c r="K15" s="49" t="s">
        <v>226</v>
      </c>
      <c r="L15" s="50">
        <v>2850</v>
      </c>
      <c r="M15" s="43">
        <v>5000</v>
      </c>
      <c r="N15" s="43">
        <v>0</v>
      </c>
      <c r="O15" s="43">
        <v>0</v>
      </c>
      <c r="P15" s="51">
        <v>850</v>
      </c>
      <c r="Q15" s="52">
        <v>1400</v>
      </c>
      <c r="R15" s="310"/>
    </row>
    <row r="16" spans="1:18" s="3" customFormat="1" ht="7.5" customHeight="1" thickBot="1">
      <c r="A16" s="312"/>
      <c r="B16" s="333"/>
      <c r="C16" s="334"/>
      <c r="D16" s="334"/>
      <c r="E16" s="334"/>
      <c r="F16" s="334"/>
      <c r="G16" s="334"/>
      <c r="H16" s="334"/>
      <c r="I16" s="334"/>
      <c r="J16" s="334"/>
      <c r="K16" s="334"/>
      <c r="L16" s="334"/>
      <c r="M16" s="334"/>
      <c r="N16" s="334"/>
      <c r="O16" s="334"/>
      <c r="P16" s="334"/>
      <c r="Q16" s="334"/>
      <c r="R16" s="310"/>
    </row>
    <row r="17" spans="1:18" s="11" customFormat="1" ht="20.25" customHeight="1" thickBot="1">
      <c r="A17" s="312"/>
      <c r="B17" s="326" t="s">
        <v>260</v>
      </c>
      <c r="C17" s="327"/>
      <c r="D17" s="327"/>
      <c r="E17" s="327"/>
      <c r="F17" s="327"/>
      <c r="G17" s="327"/>
      <c r="H17" s="327"/>
      <c r="I17" s="327"/>
      <c r="J17" s="327"/>
      <c r="K17" s="327"/>
      <c r="L17" s="327"/>
      <c r="M17" s="327"/>
      <c r="N17" s="327"/>
      <c r="O17" s="327"/>
      <c r="P17" s="327"/>
      <c r="Q17" s="328"/>
      <c r="R17" s="310"/>
    </row>
    <row r="18" spans="1:18" s="106" customFormat="1" ht="25.5" customHeight="1" thickBot="1">
      <c r="A18" s="312"/>
      <c r="B18" s="226">
        <v>44986</v>
      </c>
      <c r="C18" s="227">
        <v>45017</v>
      </c>
      <c r="D18" s="227">
        <v>45047</v>
      </c>
      <c r="E18" s="227">
        <v>45078</v>
      </c>
      <c r="F18" s="227">
        <v>45108</v>
      </c>
      <c r="G18" s="227">
        <v>45139</v>
      </c>
      <c r="H18" s="227">
        <v>45170</v>
      </c>
      <c r="I18" s="227">
        <v>45200</v>
      </c>
      <c r="J18" s="227">
        <v>45231</v>
      </c>
      <c r="K18" s="227">
        <v>45261</v>
      </c>
      <c r="L18" s="227">
        <v>45292</v>
      </c>
      <c r="M18" s="227">
        <v>45323</v>
      </c>
      <c r="N18" s="335" t="s">
        <v>112</v>
      </c>
      <c r="O18" s="336"/>
      <c r="P18" s="336"/>
      <c r="Q18" s="337"/>
      <c r="R18" s="310"/>
    </row>
    <row r="19" spans="1:18" s="106" customFormat="1" ht="25.5" customHeight="1" thickBot="1">
      <c r="A19" s="312"/>
      <c r="B19" s="191">
        <v>0</v>
      </c>
      <c r="C19" s="192">
        <f t="shared" ref="C19:M19" si="0">B19</f>
        <v>0</v>
      </c>
      <c r="D19" s="192">
        <f t="shared" si="0"/>
        <v>0</v>
      </c>
      <c r="E19" s="192">
        <f t="shared" si="0"/>
        <v>0</v>
      </c>
      <c r="F19" s="192">
        <f t="shared" si="0"/>
        <v>0</v>
      </c>
      <c r="G19" s="192">
        <f t="shared" si="0"/>
        <v>0</v>
      </c>
      <c r="H19" s="192">
        <f t="shared" si="0"/>
        <v>0</v>
      </c>
      <c r="I19" s="192">
        <f t="shared" si="0"/>
        <v>0</v>
      </c>
      <c r="J19" s="192">
        <f t="shared" si="0"/>
        <v>0</v>
      </c>
      <c r="K19" s="192">
        <f t="shared" si="0"/>
        <v>0</v>
      </c>
      <c r="L19" s="192">
        <f t="shared" si="0"/>
        <v>0</v>
      </c>
      <c r="M19" s="192">
        <f t="shared" si="0"/>
        <v>0</v>
      </c>
      <c r="N19" s="338">
        <f>SUM('Exemp.(HRA+Other) &amp; Other incom'!Q7:Q10)</f>
        <v>0</v>
      </c>
      <c r="O19" s="339"/>
      <c r="P19" s="339"/>
      <c r="Q19" s="340"/>
      <c r="R19" s="310"/>
    </row>
    <row r="20" spans="1:18" ht="9" customHeight="1">
      <c r="A20" s="312"/>
      <c r="B20" s="274"/>
      <c r="C20" s="275"/>
      <c r="D20" s="275"/>
      <c r="E20" s="275"/>
      <c r="F20" s="275"/>
      <c r="G20" s="275"/>
      <c r="H20" s="275"/>
      <c r="I20" s="275"/>
      <c r="J20" s="275"/>
      <c r="K20" s="275"/>
      <c r="L20" s="275"/>
      <c r="M20" s="275"/>
      <c r="N20" s="275"/>
      <c r="O20" s="275"/>
      <c r="P20" s="275"/>
      <c r="Q20" s="275"/>
      <c r="R20" s="310"/>
    </row>
    <row r="21" spans="1:18" ht="17.25" hidden="1" customHeight="1"/>
    <row r="22" spans="1:18" ht="17.25" hidden="1" customHeight="1"/>
    <row r="23" spans="1:18" ht="17.25" hidden="1" customHeight="1"/>
    <row r="24" spans="1:18" ht="17.25" hidden="1" customHeight="1"/>
    <row r="25" spans="1:18" ht="17.25" hidden="1" customHeight="1"/>
    <row r="26" spans="1:18" ht="17.25" hidden="1" customHeight="1"/>
    <row r="27" spans="1:18" ht="17.25" hidden="1" customHeight="1"/>
    <row r="28" spans="1:18" ht="17.25" hidden="1" customHeight="1"/>
    <row r="29" spans="1:18" ht="17.25" hidden="1" customHeight="1"/>
    <row r="30" spans="1:18" ht="17.25" hidden="1" customHeight="1"/>
    <row r="31" spans="1:18" hidden="1"/>
    <row r="32" spans="1:18" hidden="1"/>
    <row r="33" hidden="1"/>
    <row r="34" hidden="1"/>
  </sheetData>
  <sheetProtection password="E8FA" sheet="1" objects="1" scenarios="1" formatCells="0" formatColumns="0" formatRows="0" selectLockedCells="1"/>
  <mergeCells count="47">
    <mergeCell ref="B17:Q17"/>
    <mergeCell ref="N18:Q18"/>
    <mergeCell ref="N19:Q19"/>
    <mergeCell ref="G5:L5"/>
    <mergeCell ref="B9:C9"/>
    <mergeCell ref="O9:P9"/>
    <mergeCell ref="O10:P10"/>
    <mergeCell ref="F9:G9"/>
    <mergeCell ref="I9:K9"/>
    <mergeCell ref="O6:P6"/>
    <mergeCell ref="I6:J6"/>
    <mergeCell ref="B10:C10"/>
    <mergeCell ref="F10:G10"/>
    <mergeCell ref="I10:K10"/>
    <mergeCell ref="C13:C14"/>
    <mergeCell ref="B1:Q1"/>
    <mergeCell ref="B2:Q2"/>
    <mergeCell ref="B3:Q3"/>
    <mergeCell ref="R1:R20"/>
    <mergeCell ref="A1:A20"/>
    <mergeCell ref="K6:L6"/>
    <mergeCell ref="G6:H6"/>
    <mergeCell ref="M5:N5"/>
    <mergeCell ref="M6:N6"/>
    <mergeCell ref="B5:F5"/>
    <mergeCell ref="B6:F6"/>
    <mergeCell ref="B4:Q4"/>
    <mergeCell ref="B8:Q8"/>
    <mergeCell ref="Q13:Q14"/>
    <mergeCell ref="O5:P5"/>
    <mergeCell ref="B16:Q16"/>
    <mergeCell ref="B20:Q20"/>
    <mergeCell ref="D9:E9"/>
    <mergeCell ref="D10:E10"/>
    <mergeCell ref="B11:P11"/>
    <mergeCell ref="B7:Q7"/>
    <mergeCell ref="O13:O14"/>
    <mergeCell ref="P13:P14"/>
    <mergeCell ref="L13:L14"/>
    <mergeCell ref="M13:M14"/>
    <mergeCell ref="N13:N14"/>
    <mergeCell ref="B12:B14"/>
    <mergeCell ref="J13:J14"/>
    <mergeCell ref="H13:I13"/>
    <mergeCell ref="K13:K14"/>
    <mergeCell ref="L12:Q12"/>
    <mergeCell ref="C12:K12"/>
  </mergeCells>
  <dataValidations count="7">
    <dataValidation type="list" allowBlank="1" showInputMessage="1" showErrorMessage="1" sqref="B15">
      <formula1>"Regular,Probation"</formula1>
    </dataValidation>
    <dataValidation type="list" allowBlank="1" showInputMessage="1" showErrorMessage="1" sqref="F15:H15 J15:K15">
      <formula1>"YES,NO"</formula1>
    </dataValidation>
    <dataValidation type="list" allowBlank="1" showInputMessage="1" showErrorMessage="1" sqref="I15">
      <formula1>"Mar-2023,Apr-2023,May-2023,Jun-2023,Jul-2023,Aug-2023,Sep-2023,Oct-2023,Nov-2023,Dec-2023,Jan-2024,Feb-2024"</formula1>
    </dataValidation>
    <dataValidation type="textLength" errorStyle="warning" allowBlank="1" showInputMessage="1" showErrorMessage="1" sqref="K6:L6">
      <formula1>10</formula1>
      <formula2>10</formula2>
    </dataValidation>
    <dataValidation type="textLength" allowBlank="1" showInputMessage="1" showErrorMessage="1" sqref="N10">
      <formula1>10</formula1>
      <formula2>10</formula2>
    </dataValidation>
    <dataValidation type="list" allowBlank="1" showInputMessage="1" showErrorMessage="1" sqref="Q10">
      <formula1>"A,B,C"</formula1>
    </dataValidation>
    <dataValidation type="list" allowBlank="1" showInputMessage="1" showErrorMessage="1" sqref="D10:E10">
      <formula1>"Subordinate,State Service,Ministrial,Other"</formula1>
    </dataValidation>
  </dataValidations>
  <pageMargins left="0.27559055118110237" right="0.19685039370078741" top="0.23622047244094491" bottom="0.23622047244094491" header="0.19685039370078741" footer="0.19685039370078741"/>
  <pageSetup paperSize="9" scale="76" orientation="landscape" r:id="rId1"/>
</worksheet>
</file>

<file path=xl/worksheets/sheet3.xml><?xml version="1.0" encoding="utf-8"?>
<worksheet xmlns="http://schemas.openxmlformats.org/spreadsheetml/2006/main" xmlns:r="http://schemas.openxmlformats.org/officeDocument/2006/relationships">
  <sheetPr>
    <tabColor rgb="FF002060"/>
  </sheetPr>
  <dimension ref="A1:XFD35"/>
  <sheetViews>
    <sheetView showGridLines="0" showRowColHeaders="0" topLeftCell="A6" workbookViewId="0">
      <selection activeCell="Q26" sqref="Q26"/>
    </sheetView>
  </sheetViews>
  <sheetFormatPr defaultColWidth="0" defaultRowHeight="15" zeroHeight="1"/>
  <cols>
    <col min="1" max="1" width="7.85546875" style="1" customWidth="1"/>
    <col min="2" max="3" width="13.42578125" style="1" customWidth="1"/>
    <col min="4" max="4" width="11.7109375" style="1" customWidth="1"/>
    <col min="5" max="5" width="10.140625" style="1" hidden="1" customWidth="1"/>
    <col min="6" max="6" width="12.5703125" style="1" hidden="1" customWidth="1"/>
    <col min="7" max="7" width="9.85546875" style="1" hidden="1" customWidth="1"/>
    <col min="8" max="8" width="8.7109375" style="1" hidden="1" customWidth="1"/>
    <col min="9" max="9" width="9.140625" style="1" customWidth="1"/>
    <col min="10" max="10" width="9.5703125" style="1" hidden="1" customWidth="1"/>
    <col min="11" max="12" width="12.140625" style="1" customWidth="1"/>
    <col min="13" max="14" width="10.7109375" style="1" customWidth="1"/>
    <col min="15" max="15" width="24.28515625" style="1" customWidth="1"/>
    <col min="16" max="16" width="39.7109375" style="1" customWidth="1"/>
    <col min="17" max="17" width="20.28515625" style="1" customWidth="1"/>
    <col min="18" max="18" width="3.28515625" style="1" customWidth="1"/>
    <col min="19" max="24" width="9.140625" style="1" hidden="1"/>
    <col min="25" max="16383" width="10" style="1" hidden="1"/>
    <col min="16384" max="16384" width="9.140625" style="1" hidden="1"/>
  </cols>
  <sheetData>
    <row r="1" spans="1:28 16384:16384" ht="31.5" customHeight="1" thickBot="1">
      <c r="A1" s="392" t="str">
        <f>'GA-55'!B1</f>
        <v>Office: Govt. Sr. School Raimalwada (DDO Code :-12345)</v>
      </c>
      <c r="B1" s="393"/>
      <c r="C1" s="393"/>
      <c r="D1" s="393"/>
      <c r="E1" s="393"/>
      <c r="F1" s="393"/>
      <c r="G1" s="393"/>
      <c r="H1" s="393"/>
      <c r="I1" s="393"/>
      <c r="J1" s="393"/>
      <c r="K1" s="393"/>
      <c r="L1" s="393"/>
      <c r="M1" s="393"/>
      <c r="N1" s="393"/>
      <c r="O1" s="393"/>
      <c r="P1" s="393"/>
      <c r="Q1" s="394"/>
      <c r="R1" s="378"/>
    </row>
    <row r="2" spans="1:28 16384:16384" ht="23.25" customHeight="1" thickBot="1">
      <c r="A2" s="377" t="s">
        <v>65</v>
      </c>
      <c r="B2" s="377"/>
      <c r="C2" s="377"/>
      <c r="D2" s="377"/>
      <c r="E2" s="377"/>
      <c r="F2" s="377"/>
      <c r="G2" s="377"/>
      <c r="H2" s="377"/>
      <c r="I2" s="377"/>
      <c r="J2" s="377"/>
      <c r="K2" s="377"/>
      <c r="L2" s="377"/>
      <c r="M2" s="377"/>
      <c r="N2" s="377"/>
      <c r="O2" s="377"/>
      <c r="P2" s="377"/>
      <c r="Q2" s="377"/>
      <c r="R2" s="378"/>
    </row>
    <row r="3" spans="1:28 16384:16384" s="138" customFormat="1" ht="35.25" customHeight="1" thickBot="1">
      <c r="A3" s="399" t="s">
        <v>9</v>
      </c>
      <c r="B3" s="400"/>
      <c r="C3" s="237" t="s">
        <v>5</v>
      </c>
      <c r="D3" s="237" t="s">
        <v>57</v>
      </c>
      <c r="E3" s="237" t="s">
        <v>33</v>
      </c>
      <c r="F3" s="237" t="s">
        <v>34</v>
      </c>
      <c r="G3" s="237" t="s">
        <v>8</v>
      </c>
      <c r="H3" s="238">
        <v>0.1</v>
      </c>
      <c r="I3" s="237" t="s">
        <v>216</v>
      </c>
      <c r="J3" s="237"/>
      <c r="K3" s="239" t="s">
        <v>63</v>
      </c>
      <c r="L3" s="240" t="s">
        <v>64</v>
      </c>
      <c r="M3" s="241" t="s">
        <v>58</v>
      </c>
      <c r="N3" s="242" t="s">
        <v>59</v>
      </c>
      <c r="O3" s="243" t="s">
        <v>60</v>
      </c>
      <c r="P3" s="237" t="s">
        <v>61</v>
      </c>
      <c r="Q3" s="244" t="s">
        <v>62</v>
      </c>
      <c r="R3" s="378"/>
      <c r="AB3" s="1"/>
    </row>
    <row r="4" spans="1:28 16384:16384" ht="40.5" customHeight="1" thickBot="1">
      <c r="A4" s="401">
        <f>'Basic Deta'!B10</f>
        <v>0</v>
      </c>
      <c r="B4" s="402"/>
      <c r="C4" s="228">
        <f>'Basic Deta'!H10</f>
        <v>0</v>
      </c>
      <c r="D4" s="229" t="str">
        <f>'Basic Deta'!I10</f>
        <v>Govt. Sr. School Raimalwada</v>
      </c>
      <c r="E4" s="230">
        <f>SUM('GA-55'!F9:F20,'GA-55'!F28,'GA-55'!F29)</f>
        <v>464800</v>
      </c>
      <c r="F4" s="230">
        <f>SUM('GA-55'!G23,'GA-55'!G22,'GA-55'!G9:G20,'GA-55'!G28:G29)</f>
        <v>210768</v>
      </c>
      <c r="G4" s="231">
        <f>E4+F4</f>
        <v>675568</v>
      </c>
      <c r="H4" s="232">
        <f>ROUNDUP((G4*0.1),0)</f>
        <v>67557</v>
      </c>
      <c r="I4" s="230">
        <f>SUM('GA-55'!H9:H20,'GA-55'!H28:H29)</f>
        <v>41832</v>
      </c>
      <c r="J4" s="233">
        <f>ROUNDUP((I4+H4),-1)</f>
        <v>109390</v>
      </c>
      <c r="K4" s="234">
        <f>IF(T4&gt;I4,I4,T4)</f>
        <v>41832</v>
      </c>
      <c r="L4" s="235">
        <f>ROUNDUP((M4*12),-1)</f>
        <v>109440</v>
      </c>
      <c r="M4" s="193">
        <f>IF(H4&gt;100000,0,ROUNDUP(J4/12,-1))</f>
        <v>9120</v>
      </c>
      <c r="N4" s="236">
        <f>ROUNDUP((M4*3),-1)</f>
        <v>27360</v>
      </c>
      <c r="O4" s="20"/>
      <c r="P4" s="20"/>
      <c r="Q4" s="21"/>
      <c r="R4" s="378"/>
      <c r="T4" s="1">
        <f>IF(AND(M4=0,H4&gt;100000),0,IF(AND(M4&gt;0,L4&gt;H4),(L4-H4),0))</f>
        <v>41883</v>
      </c>
    </row>
    <row r="5" spans="1:28 16384:16384" ht="21" customHeight="1" thickBot="1">
      <c r="A5" s="362" t="s">
        <v>66</v>
      </c>
      <c r="B5" s="363"/>
      <c r="C5" s="363"/>
      <c r="D5" s="363"/>
      <c r="E5" s="363"/>
      <c r="F5" s="363"/>
      <c r="G5" s="363"/>
      <c r="H5" s="363"/>
      <c r="I5" s="363"/>
      <c r="J5" s="363"/>
      <c r="K5" s="363"/>
      <c r="L5" s="363"/>
      <c r="M5" s="364"/>
      <c r="N5" s="415" t="s">
        <v>71</v>
      </c>
      <c r="O5" s="416"/>
      <c r="P5" s="416"/>
      <c r="Q5" s="417"/>
      <c r="R5" s="378"/>
    </row>
    <row r="6" spans="1:28 16384:16384" ht="20.25" customHeight="1" thickBot="1">
      <c r="A6" s="245" t="s">
        <v>4</v>
      </c>
      <c r="B6" s="371" t="s">
        <v>68</v>
      </c>
      <c r="C6" s="372"/>
      <c r="D6" s="372"/>
      <c r="E6" s="372"/>
      <c r="F6" s="372"/>
      <c r="G6" s="372"/>
      <c r="H6" s="372"/>
      <c r="I6" s="372"/>
      <c r="J6" s="372"/>
      <c r="K6" s="373"/>
      <c r="L6" s="371" t="s">
        <v>67</v>
      </c>
      <c r="M6" s="374"/>
      <c r="N6" s="246" t="s">
        <v>74</v>
      </c>
      <c r="O6" s="243" t="s">
        <v>72</v>
      </c>
      <c r="P6" s="247" t="s">
        <v>73</v>
      </c>
      <c r="Q6" s="248" t="s">
        <v>67</v>
      </c>
      <c r="R6" s="378"/>
    </row>
    <row r="7" spans="1:28 16384:16384" ht="17.25" customHeight="1">
      <c r="A7" s="139">
        <v>1</v>
      </c>
      <c r="B7" s="418" t="s">
        <v>140</v>
      </c>
      <c r="C7" s="418"/>
      <c r="D7" s="418"/>
      <c r="E7" s="418"/>
      <c r="F7" s="418"/>
      <c r="G7" s="418"/>
      <c r="H7" s="418"/>
      <c r="I7" s="418"/>
      <c r="J7" s="418"/>
      <c r="K7" s="418"/>
      <c r="L7" s="375">
        <v>0</v>
      </c>
      <c r="M7" s="376"/>
      <c r="N7" s="156"/>
      <c r="O7" s="157"/>
      <c r="P7" s="157"/>
      <c r="Q7" s="158">
        <v>0</v>
      </c>
      <c r="R7" s="378"/>
    </row>
    <row r="8" spans="1:28 16384:16384" ht="17.25" customHeight="1">
      <c r="A8" s="140">
        <v>2</v>
      </c>
      <c r="B8" s="419" t="s">
        <v>141</v>
      </c>
      <c r="C8" s="419"/>
      <c r="D8" s="419"/>
      <c r="E8" s="419"/>
      <c r="F8" s="419"/>
      <c r="G8" s="419"/>
      <c r="H8" s="419"/>
      <c r="I8" s="419"/>
      <c r="J8" s="419"/>
      <c r="K8" s="419"/>
      <c r="L8" s="422">
        <v>0</v>
      </c>
      <c r="M8" s="423"/>
      <c r="N8" s="159"/>
      <c r="O8" s="160"/>
      <c r="P8" s="160"/>
      <c r="Q8" s="161">
        <v>0</v>
      </c>
      <c r="R8" s="378"/>
      <c r="XFD8" s="105" t="str">
        <f>IF(L8&gt;50000,"B","A")</f>
        <v>A</v>
      </c>
    </row>
    <row r="9" spans="1:28 16384:16384" ht="17.25" customHeight="1">
      <c r="A9" s="141">
        <v>3</v>
      </c>
      <c r="B9" s="142" t="s">
        <v>142</v>
      </c>
      <c r="C9" s="420" t="s">
        <v>143</v>
      </c>
      <c r="D9" s="420"/>
      <c r="E9" s="420"/>
      <c r="F9" s="420"/>
      <c r="G9" s="420"/>
      <c r="H9" s="420"/>
      <c r="I9" s="420"/>
      <c r="J9" s="420"/>
      <c r="K9" s="421"/>
      <c r="L9" s="422">
        <v>0</v>
      </c>
      <c r="M9" s="423"/>
      <c r="N9" s="159"/>
      <c r="O9" s="160"/>
      <c r="P9" s="160"/>
      <c r="Q9" s="161">
        <v>0</v>
      </c>
      <c r="R9" s="378"/>
      <c r="XFD9" s="105" t="str">
        <f>'Basic Deta'!Q10</f>
        <v>A</v>
      </c>
    </row>
    <row r="10" spans="1:28 16384:16384" ht="17.25" customHeight="1" thickBot="1">
      <c r="A10" s="143">
        <v>4</v>
      </c>
      <c r="B10" s="144" t="s">
        <v>142</v>
      </c>
      <c r="C10" s="369" t="s">
        <v>143</v>
      </c>
      <c r="D10" s="369"/>
      <c r="E10" s="369"/>
      <c r="F10" s="369"/>
      <c r="G10" s="369"/>
      <c r="H10" s="369"/>
      <c r="I10" s="369"/>
      <c r="J10" s="369"/>
      <c r="K10" s="370"/>
      <c r="L10" s="408">
        <v>0</v>
      </c>
      <c r="M10" s="409"/>
      <c r="N10" s="162"/>
      <c r="O10" s="163"/>
      <c r="P10" s="163"/>
      <c r="Q10" s="164">
        <v>0</v>
      </c>
      <c r="R10" s="378"/>
      <c r="XFD10" s="105" t="str">
        <f>CONCATENATE(XFD8,XFD9)</f>
        <v>AA</v>
      </c>
    </row>
    <row r="11" spans="1:28 16384:16384" ht="22.5" customHeight="1" thickBot="1">
      <c r="A11" s="377" t="s">
        <v>94</v>
      </c>
      <c r="B11" s="377"/>
      <c r="C11" s="377"/>
      <c r="D11" s="377"/>
      <c r="E11" s="377"/>
      <c r="F11" s="377"/>
      <c r="G11" s="377"/>
      <c r="H11" s="377"/>
      <c r="I11" s="377"/>
      <c r="J11" s="377"/>
      <c r="K11" s="377"/>
      <c r="L11" s="377"/>
      <c r="M11" s="377"/>
      <c r="N11" s="377"/>
      <c r="O11" s="377"/>
      <c r="P11" s="377"/>
      <c r="Q11" s="377"/>
      <c r="R11" s="378"/>
    </row>
    <row r="12" spans="1:28 16384:16384" ht="15" customHeight="1" thickBot="1">
      <c r="A12" s="249" t="s">
        <v>4</v>
      </c>
      <c r="B12" s="403" t="s">
        <v>69</v>
      </c>
      <c r="C12" s="404"/>
      <c r="D12" s="404"/>
      <c r="E12" s="404"/>
      <c r="F12" s="404"/>
      <c r="G12" s="404"/>
      <c r="H12" s="404"/>
      <c r="I12" s="404"/>
      <c r="J12" s="404"/>
      <c r="K12" s="405"/>
      <c r="L12" s="403" t="s">
        <v>70</v>
      </c>
      <c r="M12" s="410"/>
      <c r="N12" s="250" t="s">
        <v>4</v>
      </c>
      <c r="O12" s="406" t="s">
        <v>69</v>
      </c>
      <c r="P12" s="407"/>
      <c r="Q12" s="251" t="s">
        <v>67</v>
      </c>
      <c r="R12" s="378"/>
    </row>
    <row r="13" spans="1:28 16384:16384" s="19" customFormat="1" ht="17.25" customHeight="1">
      <c r="A13" s="145">
        <v>1</v>
      </c>
      <c r="B13" s="389" t="s">
        <v>149</v>
      </c>
      <c r="C13" s="389"/>
      <c r="D13" s="389"/>
      <c r="E13" s="389"/>
      <c r="F13" s="389"/>
      <c r="G13" s="389"/>
      <c r="H13" s="389"/>
      <c r="I13" s="389"/>
      <c r="J13" s="389"/>
      <c r="K13" s="389"/>
      <c r="L13" s="411">
        <v>0</v>
      </c>
      <c r="M13" s="412"/>
      <c r="N13" s="146">
        <v>15</v>
      </c>
      <c r="O13" s="390" t="s">
        <v>227</v>
      </c>
      <c r="P13" s="391"/>
      <c r="Q13" s="153">
        <v>0</v>
      </c>
      <c r="R13" s="378"/>
    </row>
    <row r="14" spans="1:28 16384:16384" s="19" customFormat="1" ht="17.25" customHeight="1">
      <c r="A14" s="147">
        <v>2</v>
      </c>
      <c r="B14" s="380" t="s">
        <v>212</v>
      </c>
      <c r="C14" s="380"/>
      <c r="D14" s="380"/>
      <c r="E14" s="380"/>
      <c r="F14" s="380"/>
      <c r="G14" s="380"/>
      <c r="H14" s="380"/>
      <c r="I14" s="380"/>
      <c r="J14" s="380"/>
      <c r="K14" s="380"/>
      <c r="L14" s="367">
        <v>0</v>
      </c>
      <c r="M14" s="368"/>
      <c r="N14" s="148">
        <v>16</v>
      </c>
      <c r="O14" s="383" t="s">
        <v>127</v>
      </c>
      <c r="P14" s="384"/>
      <c r="Q14" s="154">
        <v>0</v>
      </c>
      <c r="R14" s="378"/>
    </row>
    <row r="15" spans="1:28 16384:16384" s="19" customFormat="1" ht="17.25" customHeight="1">
      <c r="A15" s="149">
        <v>3</v>
      </c>
      <c r="B15" s="379" t="s">
        <v>115</v>
      </c>
      <c r="C15" s="379"/>
      <c r="D15" s="379"/>
      <c r="E15" s="379"/>
      <c r="F15" s="379"/>
      <c r="G15" s="379"/>
      <c r="H15" s="379"/>
      <c r="I15" s="379"/>
      <c r="J15" s="379"/>
      <c r="K15" s="379"/>
      <c r="L15" s="367">
        <v>0</v>
      </c>
      <c r="M15" s="368"/>
      <c r="N15" s="150">
        <v>17</v>
      </c>
      <c r="O15" s="385" t="s">
        <v>128</v>
      </c>
      <c r="P15" s="386"/>
      <c r="Q15" s="154">
        <v>0</v>
      </c>
      <c r="R15" s="378"/>
    </row>
    <row r="16" spans="1:28 16384:16384" s="19" customFormat="1" ht="17.25" customHeight="1">
      <c r="A16" s="147">
        <v>4</v>
      </c>
      <c r="B16" s="380" t="s">
        <v>116</v>
      </c>
      <c r="C16" s="380"/>
      <c r="D16" s="380"/>
      <c r="E16" s="380"/>
      <c r="F16" s="380"/>
      <c r="G16" s="380"/>
      <c r="H16" s="380"/>
      <c r="I16" s="380"/>
      <c r="J16" s="380"/>
      <c r="K16" s="380"/>
      <c r="L16" s="367">
        <v>0</v>
      </c>
      <c r="M16" s="368"/>
      <c r="N16" s="148">
        <v>18</v>
      </c>
      <c r="O16" s="387" t="s">
        <v>129</v>
      </c>
      <c r="P16" s="388"/>
      <c r="Q16" s="154">
        <v>0</v>
      </c>
      <c r="R16" s="378"/>
    </row>
    <row r="17" spans="1:18" s="19" customFormat="1" ht="17.25" customHeight="1">
      <c r="A17" s="149">
        <v>5</v>
      </c>
      <c r="B17" s="379" t="s">
        <v>117</v>
      </c>
      <c r="C17" s="379"/>
      <c r="D17" s="379"/>
      <c r="E17" s="379"/>
      <c r="F17" s="379"/>
      <c r="G17" s="379"/>
      <c r="H17" s="379"/>
      <c r="I17" s="379"/>
      <c r="J17" s="379"/>
      <c r="K17" s="379"/>
      <c r="L17" s="367">
        <v>0</v>
      </c>
      <c r="M17" s="368"/>
      <c r="N17" s="150">
        <v>19</v>
      </c>
      <c r="O17" s="385" t="s">
        <v>130</v>
      </c>
      <c r="P17" s="386"/>
      <c r="Q17" s="154">
        <v>0</v>
      </c>
      <c r="R17" s="378"/>
    </row>
    <row r="18" spans="1:18" s="19" customFormat="1" ht="17.25" customHeight="1">
      <c r="A18" s="147">
        <v>6</v>
      </c>
      <c r="B18" s="380" t="s">
        <v>118</v>
      </c>
      <c r="C18" s="380"/>
      <c r="D18" s="380"/>
      <c r="E18" s="380"/>
      <c r="F18" s="380"/>
      <c r="G18" s="380"/>
      <c r="H18" s="380"/>
      <c r="I18" s="380"/>
      <c r="J18" s="380"/>
      <c r="K18" s="380"/>
      <c r="L18" s="365">
        <v>0</v>
      </c>
      <c r="M18" s="366"/>
      <c r="N18" s="148">
        <v>20</v>
      </c>
      <c r="O18" s="381" t="s">
        <v>131</v>
      </c>
      <c r="P18" s="382"/>
      <c r="Q18" s="154">
        <v>0</v>
      </c>
      <c r="R18" s="378"/>
    </row>
    <row r="19" spans="1:18" s="19" customFormat="1" ht="17.25" customHeight="1">
      <c r="A19" s="149">
        <v>7</v>
      </c>
      <c r="B19" s="379" t="s">
        <v>119</v>
      </c>
      <c r="C19" s="379"/>
      <c r="D19" s="379"/>
      <c r="E19" s="379"/>
      <c r="F19" s="379"/>
      <c r="G19" s="379"/>
      <c r="H19" s="379"/>
      <c r="I19" s="379"/>
      <c r="J19" s="379"/>
      <c r="K19" s="379"/>
      <c r="L19" s="365">
        <v>0</v>
      </c>
      <c r="M19" s="366"/>
      <c r="N19" s="150">
        <v>21</v>
      </c>
      <c r="O19" s="413" t="s">
        <v>132</v>
      </c>
      <c r="P19" s="414"/>
      <c r="Q19" s="154">
        <v>0</v>
      </c>
      <c r="R19" s="378"/>
    </row>
    <row r="20" spans="1:18" s="19" customFormat="1" ht="17.25" customHeight="1">
      <c r="A20" s="147">
        <v>8</v>
      </c>
      <c r="B20" s="380" t="s">
        <v>120</v>
      </c>
      <c r="C20" s="380"/>
      <c r="D20" s="380"/>
      <c r="E20" s="380"/>
      <c r="F20" s="380"/>
      <c r="G20" s="380"/>
      <c r="H20" s="380"/>
      <c r="I20" s="380"/>
      <c r="J20" s="380"/>
      <c r="K20" s="380"/>
      <c r="L20" s="365">
        <v>0</v>
      </c>
      <c r="M20" s="366"/>
      <c r="N20" s="148">
        <v>22</v>
      </c>
      <c r="O20" s="383" t="s">
        <v>133</v>
      </c>
      <c r="P20" s="384"/>
      <c r="Q20" s="154">
        <v>0</v>
      </c>
      <c r="R20" s="378"/>
    </row>
    <row r="21" spans="1:18" s="19" customFormat="1" ht="17.25" customHeight="1">
      <c r="A21" s="149">
        <v>9</v>
      </c>
      <c r="B21" s="379" t="s">
        <v>121</v>
      </c>
      <c r="C21" s="379"/>
      <c r="D21" s="379"/>
      <c r="E21" s="379"/>
      <c r="F21" s="379"/>
      <c r="G21" s="379"/>
      <c r="H21" s="379"/>
      <c r="I21" s="379"/>
      <c r="J21" s="379"/>
      <c r="K21" s="379"/>
      <c r="L21" s="365">
        <v>0</v>
      </c>
      <c r="M21" s="366"/>
      <c r="N21" s="150">
        <v>23</v>
      </c>
      <c r="O21" s="385" t="s">
        <v>134</v>
      </c>
      <c r="P21" s="386"/>
      <c r="Q21" s="154">
        <v>0</v>
      </c>
      <c r="R21" s="378"/>
    </row>
    <row r="22" spans="1:18" s="19" customFormat="1" ht="17.25" customHeight="1">
      <c r="A22" s="147">
        <v>10</v>
      </c>
      <c r="B22" s="380" t="s">
        <v>122</v>
      </c>
      <c r="C22" s="380"/>
      <c r="D22" s="380"/>
      <c r="E22" s="380"/>
      <c r="F22" s="380"/>
      <c r="G22" s="380"/>
      <c r="H22" s="380"/>
      <c r="I22" s="380"/>
      <c r="J22" s="380"/>
      <c r="K22" s="380"/>
      <c r="L22" s="365">
        <v>0</v>
      </c>
      <c r="M22" s="366"/>
      <c r="N22" s="148">
        <v>24</v>
      </c>
      <c r="O22" s="383" t="s">
        <v>135</v>
      </c>
      <c r="P22" s="384"/>
      <c r="Q22" s="154">
        <v>0</v>
      </c>
      <c r="R22" s="378"/>
    </row>
    <row r="23" spans="1:18" s="19" customFormat="1" ht="17.25" customHeight="1">
      <c r="A23" s="149">
        <v>11</v>
      </c>
      <c r="B23" s="379" t="s">
        <v>123</v>
      </c>
      <c r="C23" s="379"/>
      <c r="D23" s="379"/>
      <c r="E23" s="379"/>
      <c r="F23" s="379"/>
      <c r="G23" s="379"/>
      <c r="H23" s="379"/>
      <c r="I23" s="379"/>
      <c r="J23" s="379"/>
      <c r="K23" s="379"/>
      <c r="L23" s="365">
        <v>0</v>
      </c>
      <c r="M23" s="366"/>
      <c r="N23" s="150">
        <v>25</v>
      </c>
      <c r="O23" s="385" t="s">
        <v>136</v>
      </c>
      <c r="P23" s="386"/>
      <c r="Q23" s="154">
        <v>0</v>
      </c>
      <c r="R23" s="378"/>
    </row>
    <row r="24" spans="1:18" s="19" customFormat="1" ht="17.25" customHeight="1">
      <c r="A24" s="147">
        <v>12</v>
      </c>
      <c r="B24" s="380" t="s">
        <v>124</v>
      </c>
      <c r="C24" s="380"/>
      <c r="D24" s="380"/>
      <c r="E24" s="380"/>
      <c r="F24" s="380"/>
      <c r="G24" s="380"/>
      <c r="H24" s="380"/>
      <c r="I24" s="380"/>
      <c r="J24" s="380"/>
      <c r="K24" s="380"/>
      <c r="L24" s="365">
        <v>0</v>
      </c>
      <c r="M24" s="366"/>
      <c r="N24" s="148">
        <v>26</v>
      </c>
      <c r="O24" s="383" t="s">
        <v>137</v>
      </c>
      <c r="P24" s="384"/>
      <c r="Q24" s="154">
        <v>0</v>
      </c>
      <c r="R24" s="378"/>
    </row>
    <row r="25" spans="1:18" s="19" customFormat="1" ht="17.25" customHeight="1">
      <c r="A25" s="149">
        <v>13</v>
      </c>
      <c r="B25" s="379" t="s">
        <v>125</v>
      </c>
      <c r="C25" s="395"/>
      <c r="D25" s="395"/>
      <c r="E25" s="395"/>
      <c r="F25" s="395"/>
      <c r="G25" s="395"/>
      <c r="H25" s="395"/>
      <c r="I25" s="395"/>
      <c r="J25" s="395"/>
      <c r="K25" s="395"/>
      <c r="L25" s="365">
        <v>0</v>
      </c>
      <c r="M25" s="366"/>
      <c r="N25" s="150">
        <v>27</v>
      </c>
      <c r="O25" s="385" t="s">
        <v>138</v>
      </c>
      <c r="P25" s="386"/>
      <c r="Q25" s="154">
        <v>0</v>
      </c>
      <c r="R25" s="378"/>
    </row>
    <row r="26" spans="1:18" s="19" customFormat="1" ht="17.25" customHeight="1" thickBot="1">
      <c r="A26" s="151">
        <v>14</v>
      </c>
      <c r="B26" s="396" t="s">
        <v>126</v>
      </c>
      <c r="C26" s="396"/>
      <c r="D26" s="396"/>
      <c r="E26" s="396"/>
      <c r="F26" s="396"/>
      <c r="G26" s="396"/>
      <c r="H26" s="396"/>
      <c r="I26" s="396"/>
      <c r="J26" s="396"/>
      <c r="K26" s="396"/>
      <c r="L26" s="360">
        <v>0</v>
      </c>
      <c r="M26" s="361"/>
      <c r="N26" s="152">
        <v>28</v>
      </c>
      <c r="O26" s="397" t="s">
        <v>139</v>
      </c>
      <c r="P26" s="398"/>
      <c r="Q26" s="155">
        <v>0</v>
      </c>
      <c r="R26" s="378"/>
    </row>
    <row r="27" spans="1:18">
      <c r="A27" s="309"/>
      <c r="B27" s="309"/>
      <c r="C27" s="309"/>
      <c r="D27" s="309"/>
      <c r="E27" s="309"/>
      <c r="F27" s="309"/>
      <c r="G27" s="309"/>
      <c r="H27" s="309"/>
      <c r="I27" s="309"/>
      <c r="J27" s="309"/>
      <c r="K27" s="309"/>
      <c r="L27" s="309"/>
      <c r="M27" s="309"/>
      <c r="N27" s="309"/>
      <c r="O27" s="309"/>
      <c r="P27" s="309"/>
      <c r="Q27" s="309"/>
      <c r="R27" s="378"/>
    </row>
    <row r="28" spans="1:18" hidden="1"/>
    <row r="29" spans="1:18" hidden="1"/>
    <row r="30" spans="1:18" hidden="1"/>
    <row r="31" spans="1:18" hidden="1"/>
    <row r="32" spans="1:18" hidden="1"/>
    <row r="33" hidden="1"/>
    <row r="34" hidden="1"/>
    <row r="35" hidden="1"/>
  </sheetData>
  <sheetProtection password="E8FA" sheet="1" objects="1" scenarios="1" formatCells="0" formatColumns="0" formatRows="0" selectLockedCells="1"/>
  <mergeCells count="64">
    <mergeCell ref="N5:Q5"/>
    <mergeCell ref="B7:K7"/>
    <mergeCell ref="B8:K8"/>
    <mergeCell ref="C9:K9"/>
    <mergeCell ref="L8:M8"/>
    <mergeCell ref="L9:M9"/>
    <mergeCell ref="L10:M10"/>
    <mergeCell ref="L12:M12"/>
    <mergeCell ref="L13:M13"/>
    <mergeCell ref="O17:P17"/>
    <mergeCell ref="O19:P19"/>
    <mergeCell ref="O21:P21"/>
    <mergeCell ref="B12:K12"/>
    <mergeCell ref="O12:P12"/>
    <mergeCell ref="L14:M14"/>
    <mergeCell ref="L15:M15"/>
    <mergeCell ref="A1:Q1"/>
    <mergeCell ref="B24:K24"/>
    <mergeCell ref="B25:K25"/>
    <mergeCell ref="B26:K26"/>
    <mergeCell ref="O24:P24"/>
    <mergeCell ref="O25:P25"/>
    <mergeCell ref="O26:P26"/>
    <mergeCell ref="O22:P22"/>
    <mergeCell ref="O23:P23"/>
    <mergeCell ref="B16:K16"/>
    <mergeCell ref="B17:K17"/>
    <mergeCell ref="B18:K18"/>
    <mergeCell ref="B19:K19"/>
    <mergeCell ref="B20:K20"/>
    <mergeCell ref="A3:B3"/>
    <mergeCell ref="A4:B4"/>
    <mergeCell ref="A2:Q2"/>
    <mergeCell ref="R1:R27"/>
    <mergeCell ref="A27:Q27"/>
    <mergeCell ref="B21:K21"/>
    <mergeCell ref="B22:K22"/>
    <mergeCell ref="B23:K23"/>
    <mergeCell ref="O18:P18"/>
    <mergeCell ref="O20:P20"/>
    <mergeCell ref="B15:K15"/>
    <mergeCell ref="O15:P15"/>
    <mergeCell ref="O16:P16"/>
    <mergeCell ref="B13:K13"/>
    <mergeCell ref="B14:K14"/>
    <mergeCell ref="O13:P13"/>
    <mergeCell ref="O14:P14"/>
    <mergeCell ref="A11:Q11"/>
    <mergeCell ref="L26:M26"/>
    <mergeCell ref="A5:M5"/>
    <mergeCell ref="L21:M21"/>
    <mergeCell ref="L22:M22"/>
    <mergeCell ref="L23:M23"/>
    <mergeCell ref="L24:M24"/>
    <mergeCell ref="L25:M25"/>
    <mergeCell ref="L16:M16"/>
    <mergeCell ref="L17:M17"/>
    <mergeCell ref="L18:M18"/>
    <mergeCell ref="L19:M19"/>
    <mergeCell ref="L20:M20"/>
    <mergeCell ref="C10:K10"/>
    <mergeCell ref="B6:K6"/>
    <mergeCell ref="L6:M6"/>
    <mergeCell ref="L7:M7"/>
  </mergeCells>
  <conditionalFormatting sqref="E4:Q4">
    <cfRule type="cellIs" dxfId="24" priority="4" operator="equal">
      <formula>0</formula>
    </cfRule>
  </conditionalFormatting>
  <dataValidations count="1">
    <dataValidation type="whole" errorStyle="information" operator="lessThan" allowBlank="1" showInputMessage="1" showErrorMessage="1" error="Please enter maximum amount of 5000" sqref="L13:L14 Q14">
      <formula1>5001</formula1>
    </dataValidation>
  </dataValidations>
  <pageMargins left="0.7" right="0.7" top="0.75" bottom="0.75" header="0.3" footer="0.3"/>
  <pageSetup paperSize="9" orientation="landscape" r:id="rId1"/>
  <legacyDrawing r:id="rId2"/>
</worksheet>
</file>

<file path=xl/worksheets/sheet4.xml><?xml version="1.0" encoding="utf-8"?>
<worksheet xmlns="http://schemas.openxmlformats.org/spreadsheetml/2006/main" xmlns:r="http://schemas.openxmlformats.org/officeDocument/2006/relationships">
  <sheetPr>
    <tabColor rgb="FF00B050"/>
  </sheetPr>
  <dimension ref="A1:XFC1046"/>
  <sheetViews>
    <sheetView showGridLines="0" topLeftCell="B10" zoomScale="91" zoomScaleNormal="91" workbookViewId="0">
      <selection activeCell="D24" sqref="D24"/>
    </sheetView>
  </sheetViews>
  <sheetFormatPr defaultColWidth="0" defaultRowHeight="15" zeroHeight="1"/>
  <cols>
    <col min="1" max="1" width="0" style="172" hidden="1" customWidth="1"/>
    <col min="2" max="2" width="4.85546875" style="6" customWidth="1"/>
    <col min="3" max="3" width="13.140625" style="6" customWidth="1"/>
    <col min="4" max="4" width="8.5703125" style="6" customWidth="1"/>
    <col min="5" max="5" width="9.42578125" style="6" customWidth="1"/>
    <col min="6" max="8" width="7.140625" style="28" customWidth="1"/>
    <col min="9" max="9" width="4.85546875" style="29" customWidth="1"/>
    <col min="10" max="14" width="6.42578125" style="28" customWidth="1"/>
    <col min="15" max="15" width="7.85546875" style="28" bestFit="1" customWidth="1"/>
    <col min="16" max="16" width="7.140625" style="28" customWidth="1"/>
    <col min="17" max="17" width="6" style="28" customWidth="1"/>
    <col min="18" max="18" width="6" style="30" customWidth="1"/>
    <col min="19" max="19" width="7.140625" style="30" customWidth="1"/>
    <col min="20" max="20" width="6" style="30" customWidth="1"/>
    <col min="21" max="21" width="7.140625" style="30" customWidth="1"/>
    <col min="22" max="22" width="5.85546875" style="30" customWidth="1"/>
    <col min="23" max="24" width="7.140625" style="30" customWidth="1"/>
    <col min="25" max="26" width="5.7109375" style="30" customWidth="1"/>
    <col min="27" max="27" width="7.140625" style="30" customWidth="1"/>
    <col min="28" max="28" width="10.85546875" style="5" customWidth="1"/>
    <col min="29" max="29" width="11" style="5" customWidth="1"/>
    <col min="30" max="30" width="2" style="5" customWidth="1"/>
    <col min="31" max="31" width="3" style="5" hidden="1"/>
    <col min="32" max="32" width="4.140625" style="1" hidden="1"/>
    <col min="33" max="33" width="6.7109375" style="1" hidden="1"/>
    <col min="34" max="34" width="9.42578125" style="1" hidden="1"/>
    <col min="35" max="35" width="6.7109375" style="1" hidden="1"/>
    <col min="36" max="36" width="5.5703125" style="1" hidden="1"/>
    <col min="37" max="37" width="7.140625" style="1" hidden="1"/>
    <col min="38" max="16383" width="3" style="1" hidden="1"/>
    <col min="16384" max="16384" width="4.140625" style="1" hidden="1"/>
  </cols>
  <sheetData>
    <row r="1" spans="1:37" s="9" customFormat="1" ht="24" customHeight="1">
      <c r="A1" s="38"/>
      <c r="B1" s="453" t="str">
        <f>CONCATENATE("Office:"," ",'Basic Deta'!G5," ","(",'Basic Deta'!M5,'Basic Deta'!O5,")")</f>
        <v>Office: Govt. Sr. School Raimalwada (DDO Code :-12345)</v>
      </c>
      <c r="C1" s="454"/>
      <c r="D1" s="454"/>
      <c r="E1" s="454"/>
      <c r="F1" s="454"/>
      <c r="G1" s="454"/>
      <c r="H1" s="454"/>
      <c r="I1" s="454"/>
      <c r="J1" s="454"/>
      <c r="K1" s="454"/>
      <c r="L1" s="454"/>
      <c r="M1" s="454"/>
      <c r="N1" s="454"/>
      <c r="O1" s="454"/>
      <c r="P1" s="454"/>
      <c r="Q1" s="454"/>
      <c r="R1" s="454"/>
      <c r="S1" s="454"/>
      <c r="T1" s="454"/>
      <c r="U1" s="454"/>
      <c r="V1" s="454"/>
      <c r="W1" s="454"/>
      <c r="X1" s="454"/>
      <c r="Y1" s="454"/>
      <c r="Z1" s="454"/>
      <c r="AA1" s="454"/>
      <c r="AB1" s="454"/>
      <c r="AC1" s="455"/>
      <c r="AD1" s="427"/>
      <c r="AE1" s="17"/>
    </row>
    <row r="2" spans="1:37" s="9" customFormat="1" ht="20.25" customHeight="1" thickBot="1">
      <c r="A2" s="39"/>
      <c r="B2" s="13"/>
      <c r="C2" s="429" t="s">
        <v>232</v>
      </c>
      <c r="D2" s="429"/>
      <c r="E2" s="429"/>
      <c r="F2" s="429"/>
      <c r="G2" s="429"/>
      <c r="H2" s="429"/>
      <c r="I2" s="429"/>
      <c r="J2" s="429"/>
      <c r="K2" s="429"/>
      <c r="L2" s="429"/>
      <c r="M2" s="429"/>
      <c r="N2" s="429"/>
      <c r="O2" s="429"/>
      <c r="P2" s="429"/>
      <c r="Q2" s="429"/>
      <c r="R2" s="429"/>
      <c r="S2" s="429"/>
      <c r="T2" s="429"/>
      <c r="U2" s="479" t="s">
        <v>48</v>
      </c>
      <c r="V2" s="479"/>
      <c r="W2" s="479"/>
      <c r="X2" s="479"/>
      <c r="Y2" s="479"/>
      <c r="Z2" s="479"/>
      <c r="AA2" s="479"/>
      <c r="AB2" s="480" t="str">
        <f>'Basic Deta'!Q6</f>
        <v>2023-24</v>
      </c>
      <c r="AC2" s="481"/>
      <c r="AD2" s="427"/>
      <c r="AE2" s="171"/>
    </row>
    <row r="3" spans="1:37" s="9" customFormat="1" ht="20.25" customHeight="1">
      <c r="A3" s="39"/>
      <c r="B3" s="462" t="s">
        <v>49</v>
      </c>
      <c r="C3" s="463"/>
      <c r="D3" s="463"/>
      <c r="E3" s="463"/>
      <c r="F3" s="461">
        <f>'Basic Deta'!B10</f>
        <v>0</v>
      </c>
      <c r="G3" s="461"/>
      <c r="H3" s="461"/>
      <c r="I3" s="461"/>
      <c r="J3" s="456" t="s">
        <v>50</v>
      </c>
      <c r="K3" s="456"/>
      <c r="L3" s="456"/>
      <c r="M3" s="456"/>
      <c r="N3" s="456"/>
      <c r="O3" s="456"/>
      <c r="P3" s="457">
        <f>'Basic Deta'!H10</f>
        <v>0</v>
      </c>
      <c r="Q3" s="457"/>
      <c r="R3" s="457"/>
      <c r="S3" s="22"/>
      <c r="T3" s="458" t="s">
        <v>51</v>
      </c>
      <c r="U3" s="458"/>
      <c r="V3" s="458"/>
      <c r="W3" s="458"/>
      <c r="X3" s="458"/>
      <c r="Y3" s="458"/>
      <c r="Z3" s="458"/>
      <c r="AA3" s="459">
        <f>'Basic Deta'!F10</f>
        <v>0</v>
      </c>
      <c r="AB3" s="459"/>
      <c r="AC3" s="460"/>
      <c r="AD3" s="427"/>
      <c r="AE3" s="12"/>
    </row>
    <row r="4" spans="1:37" s="9" customFormat="1" ht="9" customHeight="1">
      <c r="A4" s="39"/>
      <c r="B4" s="476"/>
      <c r="C4" s="477"/>
      <c r="D4" s="477"/>
      <c r="E4" s="477"/>
      <c r="F4" s="477"/>
      <c r="G4" s="477"/>
      <c r="H4" s="477"/>
      <c r="I4" s="477"/>
      <c r="J4" s="477"/>
      <c r="K4" s="477"/>
      <c r="L4" s="477"/>
      <c r="M4" s="477"/>
      <c r="N4" s="477"/>
      <c r="O4" s="477"/>
      <c r="P4" s="477"/>
      <c r="Q4" s="477"/>
      <c r="R4" s="477"/>
      <c r="S4" s="477"/>
      <c r="T4" s="477"/>
      <c r="U4" s="477"/>
      <c r="V4" s="477"/>
      <c r="W4" s="477"/>
      <c r="X4" s="477"/>
      <c r="Y4" s="477"/>
      <c r="Z4" s="477"/>
      <c r="AA4" s="477"/>
      <c r="AB4" s="477"/>
      <c r="AC4" s="478"/>
      <c r="AD4" s="427"/>
      <c r="AE4" s="170"/>
    </row>
    <row r="5" spans="1:37" s="9" customFormat="1" ht="20.25" customHeight="1">
      <c r="A5" s="39"/>
      <c r="B5" s="425" t="s">
        <v>52</v>
      </c>
      <c r="C5" s="426"/>
      <c r="D5" s="426"/>
      <c r="E5" s="426"/>
      <c r="F5" s="424">
        <f>'Basic Deta'!N10</f>
        <v>0</v>
      </c>
      <c r="G5" s="424"/>
      <c r="H5" s="424"/>
      <c r="I5" s="424"/>
      <c r="J5" s="486" t="s">
        <v>53</v>
      </c>
      <c r="K5" s="486"/>
      <c r="L5" s="486"/>
      <c r="M5" s="486"/>
      <c r="N5" s="486"/>
      <c r="O5" s="486"/>
      <c r="P5" s="472">
        <f>'Basic Deta'!L10</f>
        <v>12</v>
      </c>
      <c r="Q5" s="472"/>
      <c r="R5" s="472"/>
      <c r="S5" s="23"/>
      <c r="T5" s="473" t="s">
        <v>54</v>
      </c>
      <c r="U5" s="473"/>
      <c r="V5" s="473"/>
      <c r="W5" s="473"/>
      <c r="X5" s="473"/>
      <c r="Y5" s="473"/>
      <c r="Z5" s="473"/>
      <c r="AA5" s="474">
        <f>'Basic Deta'!O10</f>
        <v>0</v>
      </c>
      <c r="AB5" s="474"/>
      <c r="AC5" s="475"/>
      <c r="AD5" s="427"/>
      <c r="AE5" s="12"/>
    </row>
    <row r="6" spans="1:37" s="8" customFormat="1" ht="14.25" customHeight="1" thickBot="1">
      <c r="A6" s="40"/>
      <c r="B6" s="428"/>
      <c r="C6" s="429"/>
      <c r="D6" s="429"/>
      <c r="E6" s="429"/>
      <c r="F6" s="429"/>
      <c r="G6" s="429"/>
      <c r="H6" s="429"/>
      <c r="I6" s="429"/>
      <c r="J6" s="429"/>
      <c r="K6" s="429"/>
      <c r="L6" s="429"/>
      <c r="M6" s="429"/>
      <c r="N6" s="429"/>
      <c r="O6" s="429"/>
      <c r="P6" s="429"/>
      <c r="Q6" s="429"/>
      <c r="R6" s="429"/>
      <c r="S6" s="429"/>
      <c r="T6" s="429"/>
      <c r="U6" s="429"/>
      <c r="V6" s="429"/>
      <c r="W6" s="429"/>
      <c r="X6" s="429"/>
      <c r="Y6" s="429"/>
      <c r="Z6" s="429"/>
      <c r="AA6" s="429"/>
      <c r="AB6" s="429"/>
      <c r="AC6" s="430"/>
      <c r="AD6" s="427"/>
      <c r="AE6" s="170"/>
    </row>
    <row r="7" spans="1:37" s="4" customFormat="1" ht="18" customHeight="1">
      <c r="A7" s="41"/>
      <c r="B7" s="440" t="s">
        <v>4</v>
      </c>
      <c r="C7" s="442" t="s">
        <v>6</v>
      </c>
      <c r="D7" s="444" t="s">
        <v>31</v>
      </c>
      <c r="E7" s="446" t="s">
        <v>32</v>
      </c>
      <c r="F7" s="448" t="s">
        <v>38</v>
      </c>
      <c r="G7" s="449"/>
      <c r="H7" s="449"/>
      <c r="I7" s="449"/>
      <c r="J7" s="449"/>
      <c r="K7" s="449"/>
      <c r="L7" s="449"/>
      <c r="M7" s="449"/>
      <c r="N7" s="449"/>
      <c r="O7" s="450"/>
      <c r="P7" s="433" t="s">
        <v>40</v>
      </c>
      <c r="Q7" s="434"/>
      <c r="R7" s="434"/>
      <c r="S7" s="434"/>
      <c r="T7" s="434"/>
      <c r="U7" s="434"/>
      <c r="V7" s="434"/>
      <c r="W7" s="434"/>
      <c r="X7" s="434"/>
      <c r="Y7" s="434"/>
      <c r="Z7" s="434"/>
      <c r="AA7" s="434"/>
      <c r="AB7" s="435"/>
      <c r="AC7" s="431" t="s">
        <v>44</v>
      </c>
      <c r="AD7" s="427"/>
      <c r="AE7" s="113"/>
      <c r="AF7" s="7"/>
      <c r="AG7" s="7"/>
      <c r="AH7" s="7"/>
      <c r="AI7" s="7"/>
      <c r="AJ7" s="7"/>
      <c r="AK7" s="7"/>
    </row>
    <row r="8" spans="1:37" s="4" customFormat="1" ht="50.25" customHeight="1" thickBot="1">
      <c r="A8" s="41"/>
      <c r="B8" s="441"/>
      <c r="C8" s="443"/>
      <c r="D8" s="445"/>
      <c r="E8" s="447"/>
      <c r="F8" s="114" t="s">
        <v>33</v>
      </c>
      <c r="G8" s="37" t="s">
        <v>34</v>
      </c>
      <c r="H8" s="37" t="s">
        <v>35</v>
      </c>
      <c r="I8" s="173" t="s">
        <v>97</v>
      </c>
      <c r="J8" s="174" t="s">
        <v>98</v>
      </c>
      <c r="K8" s="173" t="s">
        <v>99</v>
      </c>
      <c r="L8" s="137" t="s">
        <v>100</v>
      </c>
      <c r="M8" s="35" t="s">
        <v>37</v>
      </c>
      <c r="N8" s="137" t="s">
        <v>36</v>
      </c>
      <c r="O8" s="36" t="s">
        <v>39</v>
      </c>
      <c r="P8" s="114" t="s">
        <v>96</v>
      </c>
      <c r="Q8" s="37" t="s">
        <v>20</v>
      </c>
      <c r="R8" s="37" t="s">
        <v>41</v>
      </c>
      <c r="S8" s="37" t="s">
        <v>23</v>
      </c>
      <c r="T8" s="37" t="s">
        <v>22</v>
      </c>
      <c r="U8" s="37" t="s">
        <v>95</v>
      </c>
      <c r="V8" s="37" t="s">
        <v>101</v>
      </c>
      <c r="W8" s="33" t="s">
        <v>102</v>
      </c>
      <c r="X8" s="34" t="s">
        <v>103</v>
      </c>
      <c r="Y8" s="35" t="s">
        <v>37</v>
      </c>
      <c r="Z8" s="34" t="s">
        <v>36</v>
      </c>
      <c r="AA8" s="37" t="s">
        <v>42</v>
      </c>
      <c r="AB8" s="115" t="s">
        <v>43</v>
      </c>
      <c r="AC8" s="432"/>
      <c r="AD8" s="427"/>
      <c r="AE8" s="113"/>
      <c r="AF8" s="7"/>
      <c r="AG8" s="7"/>
      <c r="AH8" s="7"/>
      <c r="AI8" s="7"/>
      <c r="AJ8" s="7"/>
      <c r="AK8" s="7"/>
    </row>
    <row r="9" spans="1:37" s="4" customFormat="1" ht="23.25" customHeight="1">
      <c r="A9" s="41"/>
      <c r="B9" s="14">
        <v>1</v>
      </c>
      <c r="C9" s="194">
        <v>44986</v>
      </c>
      <c r="D9" s="175"/>
      <c r="E9" s="176"/>
      <c r="F9" s="129">
        <f>'Basic Deta'!M10</f>
        <v>38000</v>
      </c>
      <c r="G9" s="130">
        <f>IF('Basic Deta'!$B$15="Regular",'GA-55'!F9*0.38,0)</f>
        <v>14440</v>
      </c>
      <c r="H9" s="130">
        <f>IF('Basic Deta'!$B$15="Regular",'GA-55'!F9*0.09,0)</f>
        <v>3420</v>
      </c>
      <c r="I9" s="130"/>
      <c r="J9" s="130">
        <f>IF('Basic Deta'!J15="Yes",180,0)</f>
        <v>0</v>
      </c>
      <c r="K9" s="130">
        <f>IF('Basic Deta'!K15="Yes",600,0)</f>
        <v>0</v>
      </c>
      <c r="L9" s="130"/>
      <c r="M9" s="130"/>
      <c r="N9" s="130"/>
      <c r="O9" s="24">
        <f>SUM(F9:N9)</f>
        <v>55860</v>
      </c>
      <c r="P9" s="181">
        <f>'Basic Deta'!L15</f>
        <v>2850</v>
      </c>
      <c r="Q9" s="182">
        <f>'Basic Deta'!M15</f>
        <v>5000</v>
      </c>
      <c r="R9" s="182">
        <f>'Basic Deta'!N15</f>
        <v>0</v>
      </c>
      <c r="S9" s="182">
        <f>'Basic Deta'!P15</f>
        <v>850</v>
      </c>
      <c r="T9" s="182">
        <f>'Basic Deta'!O15</f>
        <v>0</v>
      </c>
      <c r="U9" s="182"/>
      <c r="V9" s="182"/>
      <c r="W9" s="182"/>
      <c r="X9" s="182"/>
      <c r="Y9" s="182"/>
      <c r="Z9" s="182"/>
      <c r="AA9" s="182">
        <f>'Basic Deta'!$B19</f>
        <v>0</v>
      </c>
      <c r="AB9" s="116">
        <f>SUM(P9:AA9)</f>
        <v>8700</v>
      </c>
      <c r="AC9" s="117">
        <f>O9-AB9</f>
        <v>47160</v>
      </c>
      <c r="AD9" s="427"/>
      <c r="AE9" s="118"/>
      <c r="AF9" s="7" t="str">
        <f>IF(C9='Basic Deta'!$I$15,"Yes","No")</f>
        <v>No</v>
      </c>
      <c r="AG9" s="16">
        <f>IF(AF9="Yes",ROUND(F9/2,0),0)</f>
        <v>0</v>
      </c>
      <c r="AH9" s="7">
        <f>IF(AF9="Yes",ROUND(G9/2,0),0)</f>
        <v>0</v>
      </c>
      <c r="AI9" s="16">
        <f>IF(AF9="Yes",(F9+G9)/2,0)</f>
        <v>0</v>
      </c>
      <c r="AJ9" s="16">
        <f>IF(AF9="yes",(AI9+(F9*0.03/2)),0)</f>
        <v>0</v>
      </c>
      <c r="AK9" s="7">
        <f>IF($AF9="Yes",ROUND(AH9*0.03,0),0)</f>
        <v>0</v>
      </c>
    </row>
    <row r="10" spans="1:37" s="4" customFormat="1" ht="23.25" customHeight="1">
      <c r="A10" s="41"/>
      <c r="B10" s="15">
        <v>2</v>
      </c>
      <c r="C10" s="195">
        <v>45017</v>
      </c>
      <c r="D10" s="177"/>
      <c r="E10" s="178"/>
      <c r="F10" s="131">
        <f>F9</f>
        <v>38000</v>
      </c>
      <c r="G10" s="132">
        <f>IF('Basic Deta'!$B$15="Regular",'GA-55'!F10*'Basic Deta'!$D$15,0)</f>
        <v>15960</v>
      </c>
      <c r="H10" s="132">
        <f>IF('Basic Deta'!$B$15="Regular",'GA-55'!F10*0.09,0)</f>
        <v>3420</v>
      </c>
      <c r="I10" s="132">
        <f>I9</f>
        <v>0</v>
      </c>
      <c r="J10" s="133">
        <f>J9</f>
        <v>0</v>
      </c>
      <c r="K10" s="133">
        <f>K9</f>
        <v>0</v>
      </c>
      <c r="L10" s="133"/>
      <c r="M10" s="133">
        <f>M9</f>
        <v>0</v>
      </c>
      <c r="N10" s="133">
        <f>N9</f>
        <v>0</v>
      </c>
      <c r="O10" s="25">
        <f t="shared" ref="O10:O30" si="0">SUM(F10:N10)</f>
        <v>57380</v>
      </c>
      <c r="P10" s="183">
        <f t="shared" ref="P10:P20" si="1">P9</f>
        <v>2850</v>
      </c>
      <c r="Q10" s="184">
        <f t="shared" ref="Q10:Q20" si="2">Q9</f>
        <v>5000</v>
      </c>
      <c r="R10" s="184">
        <f t="shared" ref="R10:R20" si="3">R9</f>
        <v>0</v>
      </c>
      <c r="S10" s="185">
        <f t="shared" ref="S10:S20" si="4">S9</f>
        <v>850</v>
      </c>
      <c r="T10" s="185">
        <f t="shared" ref="T10:T19" si="5">T9</f>
        <v>0</v>
      </c>
      <c r="U10" s="185">
        <f>'Basic Deta'!Q15</f>
        <v>1400</v>
      </c>
      <c r="V10" s="185"/>
      <c r="W10" s="185"/>
      <c r="X10" s="185"/>
      <c r="Y10" s="185"/>
      <c r="Z10" s="185">
        <f t="shared" ref="Z10:Z20" si="6">Z9</f>
        <v>0</v>
      </c>
      <c r="AA10" s="185">
        <f>'Basic Deta'!$C19</f>
        <v>0</v>
      </c>
      <c r="AB10" s="119">
        <f t="shared" ref="AB10:AB30" si="7">SUM(P10:AA10)</f>
        <v>10100</v>
      </c>
      <c r="AC10" s="120">
        <f t="shared" ref="AC10:AC30" si="8">O10-AB10</f>
        <v>47280</v>
      </c>
      <c r="AD10" s="427"/>
      <c r="AE10" s="118"/>
      <c r="AF10" s="7" t="str">
        <f>IF(C10='Basic Deta'!$I$15,"Yes","No")</f>
        <v>No</v>
      </c>
      <c r="AG10" s="16">
        <f t="shared" ref="AG10:AG20" si="9">IF(AF10="Yes",ROUND(F10/2,0),0)</f>
        <v>0</v>
      </c>
      <c r="AH10" s="7">
        <f t="shared" ref="AH10:AH20" si="10">IF(AF10="Yes",ROUND(G10/2,0),0)</f>
        <v>0</v>
      </c>
      <c r="AI10" s="16">
        <f t="shared" ref="AI10:AI20" si="11">IF(AF10="Yes",(F10+G10)/2,0)</f>
        <v>0</v>
      </c>
      <c r="AJ10" s="7"/>
      <c r="AK10" s="7"/>
    </row>
    <row r="11" spans="1:37" s="4" customFormat="1" ht="23.25" customHeight="1">
      <c r="A11" s="41"/>
      <c r="B11" s="15">
        <v>3</v>
      </c>
      <c r="C11" s="195">
        <v>45047</v>
      </c>
      <c r="D11" s="177"/>
      <c r="E11" s="178"/>
      <c r="F11" s="131">
        <f t="shared" ref="F11:F12" si="12">F10</f>
        <v>38000</v>
      </c>
      <c r="G11" s="132">
        <f>IF('Basic Deta'!$B$15="Regular",'GA-55'!F11*'Basic Deta'!$D$15,0)</f>
        <v>15960</v>
      </c>
      <c r="H11" s="132">
        <f>IF('Basic Deta'!$B$15="Regular",'GA-55'!F11*0.09,0)</f>
        <v>3420</v>
      </c>
      <c r="I11" s="132">
        <f t="shared" ref="I11:I20" si="13">I10</f>
        <v>0</v>
      </c>
      <c r="J11" s="133">
        <f t="shared" ref="J11:J20" si="14">J10</f>
        <v>0</v>
      </c>
      <c r="K11" s="133">
        <f t="shared" ref="K11:K20" si="15">K10</f>
        <v>0</v>
      </c>
      <c r="L11" s="133"/>
      <c r="M11" s="133">
        <f t="shared" ref="M11:M20" si="16">M10</f>
        <v>0</v>
      </c>
      <c r="N11" s="133">
        <f t="shared" ref="N11:N20" si="17">N10</f>
        <v>0</v>
      </c>
      <c r="O11" s="26">
        <f t="shared" si="0"/>
        <v>57380</v>
      </c>
      <c r="P11" s="183">
        <f t="shared" si="1"/>
        <v>2850</v>
      </c>
      <c r="Q11" s="184">
        <f t="shared" si="2"/>
        <v>5000</v>
      </c>
      <c r="R11" s="184">
        <f t="shared" si="3"/>
        <v>0</v>
      </c>
      <c r="S11" s="185">
        <f t="shared" si="4"/>
        <v>850</v>
      </c>
      <c r="T11" s="185">
        <f t="shared" si="5"/>
        <v>0</v>
      </c>
      <c r="U11" s="185">
        <f>U9</f>
        <v>0</v>
      </c>
      <c r="V11" s="185"/>
      <c r="W11" s="185"/>
      <c r="X11" s="185"/>
      <c r="Y11" s="185"/>
      <c r="Z11" s="185">
        <f t="shared" si="6"/>
        <v>0</v>
      </c>
      <c r="AA11" s="185">
        <f>'Basic Deta'!D19</f>
        <v>0</v>
      </c>
      <c r="AB11" s="119">
        <f t="shared" si="7"/>
        <v>8700</v>
      </c>
      <c r="AC11" s="120">
        <f t="shared" si="8"/>
        <v>48680</v>
      </c>
      <c r="AD11" s="427"/>
      <c r="AE11" s="118"/>
      <c r="AF11" s="7" t="str">
        <f>IF(C11='Basic Deta'!$I$15,"Yes","No")</f>
        <v>No</v>
      </c>
      <c r="AG11" s="16">
        <f t="shared" si="9"/>
        <v>0</v>
      </c>
      <c r="AH11" s="7">
        <f t="shared" si="10"/>
        <v>0</v>
      </c>
      <c r="AI11" s="16">
        <f t="shared" si="11"/>
        <v>0</v>
      </c>
      <c r="AJ11" s="7"/>
      <c r="AK11" s="7"/>
    </row>
    <row r="12" spans="1:37" s="4" customFormat="1" ht="23.25" customHeight="1">
      <c r="A12" s="41"/>
      <c r="B12" s="15">
        <v>4</v>
      </c>
      <c r="C12" s="195">
        <v>45078</v>
      </c>
      <c r="D12" s="177"/>
      <c r="E12" s="178"/>
      <c r="F12" s="131">
        <f t="shared" si="12"/>
        <v>38000</v>
      </c>
      <c r="G12" s="132">
        <f>IF('Basic Deta'!$B$15="Regular",'GA-55'!F12*'Basic Deta'!$D$15,0)</f>
        <v>15960</v>
      </c>
      <c r="H12" s="132">
        <f>IF('Basic Deta'!$B$15="Regular",'GA-55'!F12*0.09,0)</f>
        <v>3420</v>
      </c>
      <c r="I12" s="132">
        <f t="shared" si="13"/>
        <v>0</v>
      </c>
      <c r="J12" s="133">
        <f t="shared" si="14"/>
        <v>0</v>
      </c>
      <c r="K12" s="133">
        <f t="shared" si="15"/>
        <v>0</v>
      </c>
      <c r="L12" s="133"/>
      <c r="M12" s="133">
        <f t="shared" si="16"/>
        <v>0</v>
      </c>
      <c r="N12" s="133">
        <f t="shared" si="17"/>
        <v>0</v>
      </c>
      <c r="O12" s="26">
        <f t="shared" si="0"/>
        <v>57380</v>
      </c>
      <c r="P12" s="183">
        <f t="shared" si="1"/>
        <v>2850</v>
      </c>
      <c r="Q12" s="184">
        <f t="shared" si="2"/>
        <v>5000</v>
      </c>
      <c r="R12" s="184">
        <f t="shared" si="3"/>
        <v>0</v>
      </c>
      <c r="S12" s="185">
        <f t="shared" si="4"/>
        <v>850</v>
      </c>
      <c r="T12" s="185">
        <f t="shared" si="5"/>
        <v>0</v>
      </c>
      <c r="U12" s="185">
        <f t="shared" ref="U12:U20" si="18">U11</f>
        <v>0</v>
      </c>
      <c r="V12" s="185"/>
      <c r="W12" s="185"/>
      <c r="X12" s="185"/>
      <c r="Y12" s="185"/>
      <c r="Z12" s="185">
        <f t="shared" si="6"/>
        <v>0</v>
      </c>
      <c r="AA12" s="185">
        <f>'Basic Deta'!E19</f>
        <v>0</v>
      </c>
      <c r="AB12" s="119">
        <f t="shared" si="7"/>
        <v>8700</v>
      </c>
      <c r="AC12" s="120">
        <f t="shared" si="8"/>
        <v>48680</v>
      </c>
      <c r="AD12" s="427"/>
      <c r="AE12" s="118"/>
      <c r="AF12" s="7" t="str">
        <f>IF(C12='Basic Deta'!$I$15,"Yes","No")</f>
        <v>No</v>
      </c>
      <c r="AG12" s="16">
        <f t="shared" si="9"/>
        <v>0</v>
      </c>
      <c r="AH12" s="7">
        <f t="shared" si="10"/>
        <v>0</v>
      </c>
      <c r="AI12" s="16">
        <f t="shared" si="11"/>
        <v>0</v>
      </c>
      <c r="AJ12" s="7"/>
      <c r="AK12" s="7"/>
    </row>
    <row r="13" spans="1:37" s="4" customFormat="1" ht="23.25" customHeight="1">
      <c r="A13" s="41"/>
      <c r="B13" s="15">
        <v>5</v>
      </c>
      <c r="C13" s="195">
        <v>45108</v>
      </c>
      <c r="D13" s="177"/>
      <c r="E13" s="178"/>
      <c r="F13" s="131">
        <f>IF('Basic Deta'!B15="Regular",ROUND(F12*103%,-2),'GA-55'!F12)</f>
        <v>39100</v>
      </c>
      <c r="G13" s="132">
        <f>IF('Basic Deta'!$B$15="Regular",'GA-55'!F13*'Basic Deta'!$D$15,0)</f>
        <v>16422</v>
      </c>
      <c r="H13" s="132">
        <f>IF('Basic Deta'!$B$15="Regular",'GA-55'!F13*0.09,0)</f>
        <v>3519</v>
      </c>
      <c r="I13" s="132">
        <f t="shared" si="13"/>
        <v>0</v>
      </c>
      <c r="J13" s="133">
        <f t="shared" si="14"/>
        <v>0</v>
      </c>
      <c r="K13" s="133">
        <f t="shared" si="15"/>
        <v>0</v>
      </c>
      <c r="L13" s="133"/>
      <c r="M13" s="133">
        <f t="shared" si="16"/>
        <v>0</v>
      </c>
      <c r="N13" s="133">
        <f t="shared" si="17"/>
        <v>0</v>
      </c>
      <c r="O13" s="26">
        <f t="shared" si="0"/>
        <v>59041</v>
      </c>
      <c r="P13" s="183">
        <f t="shared" si="1"/>
        <v>2850</v>
      </c>
      <c r="Q13" s="184">
        <f t="shared" si="2"/>
        <v>5000</v>
      </c>
      <c r="R13" s="184">
        <f t="shared" si="3"/>
        <v>0</v>
      </c>
      <c r="S13" s="185">
        <f t="shared" si="4"/>
        <v>850</v>
      </c>
      <c r="T13" s="185">
        <f t="shared" si="5"/>
        <v>0</v>
      </c>
      <c r="U13" s="185">
        <f t="shared" si="18"/>
        <v>0</v>
      </c>
      <c r="V13" s="185"/>
      <c r="W13" s="185"/>
      <c r="X13" s="185"/>
      <c r="Y13" s="185"/>
      <c r="Z13" s="185">
        <f t="shared" si="6"/>
        <v>0</v>
      </c>
      <c r="AA13" s="185">
        <f>'Basic Deta'!F19</f>
        <v>0</v>
      </c>
      <c r="AB13" s="119">
        <f t="shared" si="7"/>
        <v>8700</v>
      </c>
      <c r="AC13" s="120">
        <f t="shared" si="8"/>
        <v>50341</v>
      </c>
      <c r="AD13" s="427"/>
      <c r="AE13" s="118"/>
      <c r="AF13" s="7" t="str">
        <f>IF(C13='Basic Deta'!$I$15,"Yes","No")</f>
        <v>No</v>
      </c>
      <c r="AG13" s="16">
        <f t="shared" si="9"/>
        <v>0</v>
      </c>
      <c r="AH13" s="7">
        <f t="shared" si="10"/>
        <v>0</v>
      </c>
      <c r="AI13" s="16">
        <f t="shared" si="11"/>
        <v>0</v>
      </c>
      <c r="AJ13" s="16">
        <f>IF(AF13="yes",(F13*0.04/2),0)</f>
        <v>0</v>
      </c>
      <c r="AK13" s="7">
        <f>IF($AF13="Yes",ROUND(AH13*0.04,0),0)</f>
        <v>0</v>
      </c>
    </row>
    <row r="14" spans="1:37" s="4" customFormat="1" ht="23.25" customHeight="1">
      <c r="A14" s="41"/>
      <c r="B14" s="15">
        <v>6</v>
      </c>
      <c r="C14" s="195">
        <v>45139</v>
      </c>
      <c r="D14" s="177"/>
      <c r="E14" s="178"/>
      <c r="F14" s="131">
        <f>F13</f>
        <v>39100</v>
      </c>
      <c r="G14" s="132">
        <f>IF('Basic Deta'!$B$15="Regular",'GA-55'!F14*'Basic Deta'!$D$15,0)</f>
        <v>16422</v>
      </c>
      <c r="H14" s="132">
        <f>IF('Basic Deta'!$B$15="Regular",'GA-55'!F14*0.09,0)</f>
        <v>3519</v>
      </c>
      <c r="I14" s="132">
        <f t="shared" si="13"/>
        <v>0</v>
      </c>
      <c r="J14" s="133">
        <f t="shared" si="14"/>
        <v>0</v>
      </c>
      <c r="K14" s="133">
        <f t="shared" si="15"/>
        <v>0</v>
      </c>
      <c r="L14" s="133"/>
      <c r="M14" s="133">
        <f t="shared" si="16"/>
        <v>0</v>
      </c>
      <c r="N14" s="133">
        <f t="shared" si="17"/>
        <v>0</v>
      </c>
      <c r="O14" s="26">
        <f t="shared" si="0"/>
        <v>59041</v>
      </c>
      <c r="P14" s="183">
        <f t="shared" si="1"/>
        <v>2850</v>
      </c>
      <c r="Q14" s="184">
        <f t="shared" si="2"/>
        <v>5000</v>
      </c>
      <c r="R14" s="184">
        <f t="shared" si="3"/>
        <v>0</v>
      </c>
      <c r="S14" s="185">
        <f t="shared" si="4"/>
        <v>850</v>
      </c>
      <c r="T14" s="185">
        <f t="shared" si="5"/>
        <v>0</v>
      </c>
      <c r="U14" s="185">
        <f t="shared" si="18"/>
        <v>0</v>
      </c>
      <c r="V14" s="185"/>
      <c r="W14" s="185"/>
      <c r="X14" s="185"/>
      <c r="Y14" s="185"/>
      <c r="Z14" s="185">
        <f t="shared" si="6"/>
        <v>0</v>
      </c>
      <c r="AA14" s="185">
        <f>'Basic Deta'!G19</f>
        <v>0</v>
      </c>
      <c r="AB14" s="119">
        <f t="shared" si="7"/>
        <v>8700</v>
      </c>
      <c r="AC14" s="120">
        <f t="shared" si="8"/>
        <v>50341</v>
      </c>
      <c r="AD14" s="427"/>
      <c r="AE14" s="118"/>
      <c r="AF14" s="7" t="str">
        <f>IF(C14='Basic Deta'!$I$15,"Yes","No")</f>
        <v>No</v>
      </c>
      <c r="AG14" s="16">
        <f>IF(AF14="Yes",ROUND(F14/2,0),0)</f>
        <v>0</v>
      </c>
      <c r="AH14" s="7">
        <f t="shared" si="10"/>
        <v>0</v>
      </c>
      <c r="AI14" s="16">
        <f t="shared" si="11"/>
        <v>0</v>
      </c>
      <c r="AJ14" s="16">
        <f t="shared" ref="AJ14:AJ15" si="19">IF(AF14="yes",(F14*0.04/2),0)</f>
        <v>0</v>
      </c>
      <c r="AK14" s="7">
        <f>IF($AF14="Yes",ROUND(AH14*0.04,0),0)</f>
        <v>0</v>
      </c>
    </row>
    <row r="15" spans="1:37" s="4" customFormat="1" ht="23.25" customHeight="1">
      <c r="A15" s="41"/>
      <c r="B15" s="15">
        <v>7</v>
      </c>
      <c r="C15" s="195">
        <v>45170</v>
      </c>
      <c r="D15" s="177"/>
      <c r="E15" s="178"/>
      <c r="F15" s="131">
        <f t="shared" ref="F15:F20" si="20">F14</f>
        <v>39100</v>
      </c>
      <c r="G15" s="132">
        <f>IF('Basic Deta'!$B$15="Regular",'GA-55'!F15*'Basic Deta'!$D$15,0)</f>
        <v>16422</v>
      </c>
      <c r="H15" s="132">
        <f>IF('Basic Deta'!$B$15="Regular",'GA-55'!F15*0.09,0)</f>
        <v>3519</v>
      </c>
      <c r="I15" s="132">
        <f t="shared" si="13"/>
        <v>0</v>
      </c>
      <c r="J15" s="133">
        <f t="shared" si="14"/>
        <v>0</v>
      </c>
      <c r="K15" s="133">
        <f t="shared" si="15"/>
        <v>0</v>
      </c>
      <c r="L15" s="133"/>
      <c r="M15" s="133">
        <f t="shared" si="16"/>
        <v>0</v>
      </c>
      <c r="N15" s="133">
        <f t="shared" si="17"/>
        <v>0</v>
      </c>
      <c r="O15" s="26">
        <f t="shared" si="0"/>
        <v>59041</v>
      </c>
      <c r="P15" s="183">
        <f t="shared" si="1"/>
        <v>2850</v>
      </c>
      <c r="Q15" s="184">
        <f t="shared" si="2"/>
        <v>5000</v>
      </c>
      <c r="R15" s="184">
        <f t="shared" si="3"/>
        <v>0</v>
      </c>
      <c r="S15" s="185">
        <f t="shared" si="4"/>
        <v>850</v>
      </c>
      <c r="T15" s="185">
        <f t="shared" si="5"/>
        <v>0</v>
      </c>
      <c r="U15" s="185">
        <f t="shared" si="18"/>
        <v>0</v>
      </c>
      <c r="V15" s="185"/>
      <c r="W15" s="185"/>
      <c r="X15" s="185"/>
      <c r="Y15" s="185"/>
      <c r="Z15" s="185">
        <f t="shared" si="6"/>
        <v>0</v>
      </c>
      <c r="AA15" s="185">
        <f>'Basic Deta'!H19</f>
        <v>0</v>
      </c>
      <c r="AB15" s="119">
        <f t="shared" si="7"/>
        <v>8700</v>
      </c>
      <c r="AC15" s="120">
        <f t="shared" si="8"/>
        <v>50341</v>
      </c>
      <c r="AD15" s="427"/>
      <c r="AE15" s="118"/>
      <c r="AF15" s="7" t="str">
        <f>IF(C15='Basic Deta'!$I$15,"Yes","No")</f>
        <v>No</v>
      </c>
      <c r="AG15" s="16">
        <f t="shared" si="9"/>
        <v>0</v>
      </c>
      <c r="AH15" s="7">
        <f t="shared" si="10"/>
        <v>0</v>
      </c>
      <c r="AI15" s="16">
        <f t="shared" si="11"/>
        <v>0</v>
      </c>
      <c r="AJ15" s="16">
        <f t="shared" si="19"/>
        <v>0</v>
      </c>
      <c r="AK15" s="7">
        <f>IF($AF15="Yes",ROUND(AH15*0.04,0),0)</f>
        <v>0</v>
      </c>
    </row>
    <row r="16" spans="1:37" s="4" customFormat="1" ht="23.25" customHeight="1">
      <c r="A16" s="41"/>
      <c r="B16" s="15">
        <v>8</v>
      </c>
      <c r="C16" s="195">
        <v>45200</v>
      </c>
      <c r="D16" s="177"/>
      <c r="E16" s="178"/>
      <c r="F16" s="131">
        <f t="shared" si="20"/>
        <v>39100</v>
      </c>
      <c r="G16" s="132">
        <f>IF('Basic Deta'!$B$15="Regular",'GA-55'!F16*'Basic Deta'!$D$15,0)</f>
        <v>16422</v>
      </c>
      <c r="H16" s="132">
        <f>IF('Basic Deta'!$B$15="Regular",'GA-55'!F16*0.09,0)</f>
        <v>3519</v>
      </c>
      <c r="I16" s="132">
        <f t="shared" si="13"/>
        <v>0</v>
      </c>
      <c r="J16" s="133">
        <f t="shared" si="14"/>
        <v>0</v>
      </c>
      <c r="K16" s="133">
        <f t="shared" si="15"/>
        <v>0</v>
      </c>
      <c r="L16" s="133"/>
      <c r="M16" s="133">
        <f t="shared" si="16"/>
        <v>0</v>
      </c>
      <c r="N16" s="133">
        <f t="shared" si="17"/>
        <v>0</v>
      </c>
      <c r="O16" s="26">
        <f t="shared" si="0"/>
        <v>59041</v>
      </c>
      <c r="P16" s="183">
        <f t="shared" si="1"/>
        <v>2850</v>
      </c>
      <c r="Q16" s="184">
        <f t="shared" si="2"/>
        <v>5000</v>
      </c>
      <c r="R16" s="184">
        <f t="shared" si="3"/>
        <v>0</v>
      </c>
      <c r="S16" s="185">
        <f t="shared" si="4"/>
        <v>850</v>
      </c>
      <c r="T16" s="185">
        <f t="shared" si="5"/>
        <v>0</v>
      </c>
      <c r="U16" s="185">
        <f t="shared" si="18"/>
        <v>0</v>
      </c>
      <c r="V16" s="185"/>
      <c r="W16" s="185"/>
      <c r="X16" s="185"/>
      <c r="Y16" s="185"/>
      <c r="Z16" s="185">
        <f t="shared" si="6"/>
        <v>0</v>
      </c>
      <c r="AA16" s="185">
        <f>'Basic Deta'!I19</f>
        <v>0</v>
      </c>
      <c r="AB16" s="119">
        <f t="shared" si="7"/>
        <v>8700</v>
      </c>
      <c r="AC16" s="120">
        <f t="shared" si="8"/>
        <v>50341</v>
      </c>
      <c r="AD16" s="427"/>
      <c r="AE16" s="118"/>
      <c r="AF16" s="7" t="str">
        <f>IF(C16='Basic Deta'!$I$15,"Yes","No")</f>
        <v>Yes</v>
      </c>
      <c r="AG16" s="16">
        <f t="shared" si="9"/>
        <v>19550</v>
      </c>
      <c r="AH16" s="7">
        <f t="shared" si="10"/>
        <v>8211</v>
      </c>
      <c r="AI16" s="16">
        <f t="shared" si="11"/>
        <v>27761</v>
      </c>
      <c r="AJ16" s="16">
        <f t="shared" ref="AJ16" si="21">IF(AF16="yes",(F16*0.04/2),0)</f>
        <v>782</v>
      </c>
      <c r="AK16" s="7">
        <f>IF($AF16="Yes",ROUND(AH16*0.04,0),0)</f>
        <v>328</v>
      </c>
    </row>
    <row r="17" spans="1:37" s="4" customFormat="1" ht="23.25" customHeight="1">
      <c r="A17" s="41"/>
      <c r="B17" s="15">
        <v>9</v>
      </c>
      <c r="C17" s="195">
        <v>45231</v>
      </c>
      <c r="D17" s="177"/>
      <c r="E17" s="178"/>
      <c r="F17" s="131">
        <f t="shared" si="20"/>
        <v>39100</v>
      </c>
      <c r="G17" s="132">
        <f>IF('Basic Deta'!$B$15="Regular",'GA-55'!F17*'Basic Deta'!$E$15,0)</f>
        <v>17986</v>
      </c>
      <c r="H17" s="132">
        <f>IF('Basic Deta'!$B$15="Regular",'GA-55'!F17*0.09,0)</f>
        <v>3519</v>
      </c>
      <c r="I17" s="132">
        <f t="shared" si="13"/>
        <v>0</v>
      </c>
      <c r="J17" s="133">
        <f t="shared" si="14"/>
        <v>0</v>
      </c>
      <c r="K17" s="133">
        <f t="shared" si="15"/>
        <v>0</v>
      </c>
      <c r="L17" s="133"/>
      <c r="M17" s="133">
        <f t="shared" si="16"/>
        <v>0</v>
      </c>
      <c r="N17" s="133">
        <f t="shared" si="17"/>
        <v>0</v>
      </c>
      <c r="O17" s="26">
        <f t="shared" si="0"/>
        <v>60605</v>
      </c>
      <c r="P17" s="183">
        <f t="shared" si="1"/>
        <v>2850</v>
      </c>
      <c r="Q17" s="184">
        <f t="shared" si="2"/>
        <v>5000</v>
      </c>
      <c r="R17" s="184">
        <f t="shared" si="3"/>
        <v>0</v>
      </c>
      <c r="S17" s="185">
        <f t="shared" si="4"/>
        <v>850</v>
      </c>
      <c r="T17" s="185">
        <f t="shared" si="5"/>
        <v>0</v>
      </c>
      <c r="U17" s="185">
        <f t="shared" si="18"/>
        <v>0</v>
      </c>
      <c r="V17" s="185"/>
      <c r="W17" s="185"/>
      <c r="X17" s="185"/>
      <c r="Y17" s="185"/>
      <c r="Z17" s="185">
        <f t="shared" si="6"/>
        <v>0</v>
      </c>
      <c r="AA17" s="185">
        <f>'Basic Deta'!J19</f>
        <v>0</v>
      </c>
      <c r="AB17" s="119">
        <f t="shared" si="7"/>
        <v>8700</v>
      </c>
      <c r="AC17" s="120">
        <f t="shared" si="8"/>
        <v>51905</v>
      </c>
      <c r="AD17" s="427"/>
      <c r="AE17" s="118"/>
      <c r="AF17" s="7" t="str">
        <f>IF(C17='Basic Deta'!$I$15,"Yes","No")</f>
        <v>No</v>
      </c>
      <c r="AG17" s="16">
        <f t="shared" si="9"/>
        <v>0</v>
      </c>
      <c r="AH17" s="7">
        <f t="shared" si="10"/>
        <v>0</v>
      </c>
      <c r="AI17" s="16">
        <f t="shared" si="11"/>
        <v>0</v>
      </c>
      <c r="AJ17" s="7"/>
      <c r="AK17" s="7"/>
    </row>
    <row r="18" spans="1:37" s="4" customFormat="1" ht="23.25" customHeight="1">
      <c r="A18" s="41"/>
      <c r="B18" s="15">
        <v>10</v>
      </c>
      <c r="C18" s="195">
        <v>45261</v>
      </c>
      <c r="D18" s="177"/>
      <c r="E18" s="178"/>
      <c r="F18" s="131">
        <f t="shared" si="20"/>
        <v>39100</v>
      </c>
      <c r="G18" s="132">
        <f>IF('Basic Deta'!$B$15="Regular",'GA-55'!F18*'Basic Deta'!$E$15,0)</f>
        <v>17986</v>
      </c>
      <c r="H18" s="132">
        <f>IF('Basic Deta'!$B$15="Regular",'GA-55'!F18*0.09,0)</f>
        <v>3519</v>
      </c>
      <c r="I18" s="132">
        <f t="shared" si="13"/>
        <v>0</v>
      </c>
      <c r="J18" s="133">
        <f t="shared" si="14"/>
        <v>0</v>
      </c>
      <c r="K18" s="133">
        <f t="shared" si="15"/>
        <v>0</v>
      </c>
      <c r="L18" s="133"/>
      <c r="M18" s="133">
        <f t="shared" si="16"/>
        <v>0</v>
      </c>
      <c r="N18" s="133">
        <f t="shared" si="17"/>
        <v>0</v>
      </c>
      <c r="O18" s="26">
        <f t="shared" si="0"/>
        <v>60605</v>
      </c>
      <c r="P18" s="183">
        <f t="shared" si="1"/>
        <v>2850</v>
      </c>
      <c r="Q18" s="184">
        <f t="shared" si="2"/>
        <v>5000</v>
      </c>
      <c r="R18" s="184">
        <f t="shared" si="3"/>
        <v>0</v>
      </c>
      <c r="S18" s="185">
        <f t="shared" si="4"/>
        <v>850</v>
      </c>
      <c r="T18" s="185">
        <f t="shared" si="5"/>
        <v>0</v>
      </c>
      <c r="U18" s="185">
        <f t="shared" si="18"/>
        <v>0</v>
      </c>
      <c r="V18" s="185"/>
      <c r="W18" s="185"/>
      <c r="X18" s="186">
        <f>IF('Basic Deta'!D10="State Service",500,250)</f>
        <v>250</v>
      </c>
      <c r="Y18" s="185"/>
      <c r="Z18" s="185">
        <f t="shared" si="6"/>
        <v>0</v>
      </c>
      <c r="AA18" s="185">
        <f>'Basic Deta'!K19</f>
        <v>0</v>
      </c>
      <c r="AB18" s="119">
        <f t="shared" si="7"/>
        <v>8950</v>
      </c>
      <c r="AC18" s="120">
        <f t="shared" si="8"/>
        <v>51655</v>
      </c>
      <c r="AD18" s="427"/>
      <c r="AE18" s="118"/>
      <c r="AF18" s="7" t="str">
        <f>IF(C18='Basic Deta'!$I$15,"Yes","No")</f>
        <v>No</v>
      </c>
      <c r="AG18" s="16">
        <f t="shared" si="9"/>
        <v>0</v>
      </c>
      <c r="AH18" s="7">
        <f t="shared" si="10"/>
        <v>0</v>
      </c>
      <c r="AI18" s="16">
        <f t="shared" si="11"/>
        <v>0</v>
      </c>
      <c r="AJ18" s="7"/>
      <c r="AK18" s="7"/>
    </row>
    <row r="19" spans="1:37" s="4" customFormat="1" ht="23.25" customHeight="1">
      <c r="A19" s="41"/>
      <c r="B19" s="15">
        <v>11</v>
      </c>
      <c r="C19" s="195">
        <v>45292</v>
      </c>
      <c r="D19" s="177"/>
      <c r="E19" s="178"/>
      <c r="F19" s="131">
        <f t="shared" si="20"/>
        <v>39100</v>
      </c>
      <c r="G19" s="132">
        <f>IF('Basic Deta'!$B$15="Regular",'GA-55'!F19*'Basic Deta'!$E$15,0)</f>
        <v>17986</v>
      </c>
      <c r="H19" s="132">
        <f>IF('Basic Deta'!$B$15="Regular",'GA-55'!F19*0.09,0)</f>
        <v>3519</v>
      </c>
      <c r="I19" s="132">
        <f t="shared" si="13"/>
        <v>0</v>
      </c>
      <c r="J19" s="133">
        <f t="shared" si="14"/>
        <v>0</v>
      </c>
      <c r="K19" s="133">
        <f t="shared" si="15"/>
        <v>0</v>
      </c>
      <c r="L19" s="133"/>
      <c r="M19" s="133">
        <f t="shared" si="16"/>
        <v>0</v>
      </c>
      <c r="N19" s="133">
        <f t="shared" si="17"/>
        <v>0</v>
      </c>
      <c r="O19" s="26">
        <f t="shared" si="0"/>
        <v>60605</v>
      </c>
      <c r="P19" s="183">
        <f t="shared" si="1"/>
        <v>2850</v>
      </c>
      <c r="Q19" s="184">
        <f t="shared" si="2"/>
        <v>5000</v>
      </c>
      <c r="R19" s="184">
        <f t="shared" si="3"/>
        <v>0</v>
      </c>
      <c r="S19" s="185">
        <f t="shared" si="4"/>
        <v>850</v>
      </c>
      <c r="T19" s="185">
        <f t="shared" si="5"/>
        <v>0</v>
      </c>
      <c r="U19" s="185">
        <f t="shared" si="18"/>
        <v>0</v>
      </c>
      <c r="V19" s="185"/>
      <c r="W19" s="185"/>
      <c r="X19" s="185"/>
      <c r="Y19" s="185"/>
      <c r="Z19" s="185">
        <f t="shared" si="6"/>
        <v>0</v>
      </c>
      <c r="AA19" s="185">
        <f>'Basic Deta'!L19</f>
        <v>0</v>
      </c>
      <c r="AB19" s="119">
        <f t="shared" si="7"/>
        <v>8700</v>
      </c>
      <c r="AC19" s="120">
        <f t="shared" si="8"/>
        <v>51905</v>
      </c>
      <c r="AD19" s="427"/>
      <c r="AE19" s="118"/>
      <c r="AF19" s="7" t="str">
        <f>IF(C19='Basic Deta'!$I$15,"Yes","No")</f>
        <v>No</v>
      </c>
      <c r="AG19" s="16">
        <f t="shared" si="9"/>
        <v>0</v>
      </c>
      <c r="AH19" s="7">
        <f t="shared" si="10"/>
        <v>0</v>
      </c>
      <c r="AI19" s="16">
        <f t="shared" si="11"/>
        <v>0</v>
      </c>
      <c r="AJ19" s="7"/>
      <c r="AK19" s="7"/>
    </row>
    <row r="20" spans="1:37" s="4" customFormat="1" ht="23.25" customHeight="1">
      <c r="A20" s="41"/>
      <c r="B20" s="15">
        <v>12</v>
      </c>
      <c r="C20" s="195">
        <v>45323</v>
      </c>
      <c r="D20" s="177"/>
      <c r="E20" s="178"/>
      <c r="F20" s="131">
        <f t="shared" si="20"/>
        <v>39100</v>
      </c>
      <c r="G20" s="132">
        <f>IF('Basic Deta'!$B$15="Regular",'GA-55'!F20*'Basic Deta'!$E$15,0)</f>
        <v>17986</v>
      </c>
      <c r="H20" s="132">
        <f>IF('Basic Deta'!$B$15="Regular",'GA-55'!F20*0.09,0)</f>
        <v>3519</v>
      </c>
      <c r="I20" s="132">
        <f t="shared" si="13"/>
        <v>0</v>
      </c>
      <c r="J20" s="133">
        <f t="shared" si="14"/>
        <v>0</v>
      </c>
      <c r="K20" s="133">
        <f t="shared" si="15"/>
        <v>0</v>
      </c>
      <c r="L20" s="133"/>
      <c r="M20" s="133">
        <f t="shared" si="16"/>
        <v>0</v>
      </c>
      <c r="N20" s="133">
        <f t="shared" si="17"/>
        <v>0</v>
      </c>
      <c r="O20" s="26">
        <f t="shared" si="0"/>
        <v>60605</v>
      </c>
      <c r="P20" s="183">
        <f t="shared" si="1"/>
        <v>2850</v>
      </c>
      <c r="Q20" s="184">
        <f t="shared" si="2"/>
        <v>5000</v>
      </c>
      <c r="R20" s="184">
        <f t="shared" si="3"/>
        <v>0</v>
      </c>
      <c r="S20" s="185">
        <f t="shared" si="4"/>
        <v>850</v>
      </c>
      <c r="T20" s="185">
        <f>T19</f>
        <v>0</v>
      </c>
      <c r="U20" s="185">
        <f t="shared" si="18"/>
        <v>0</v>
      </c>
      <c r="V20" s="185"/>
      <c r="W20" s="185"/>
      <c r="X20" s="185"/>
      <c r="Y20" s="185"/>
      <c r="Z20" s="185">
        <f t="shared" si="6"/>
        <v>0</v>
      </c>
      <c r="AA20" s="185">
        <f>'Basic Deta'!M19</f>
        <v>0</v>
      </c>
      <c r="AB20" s="119">
        <f t="shared" si="7"/>
        <v>8700</v>
      </c>
      <c r="AC20" s="120">
        <f t="shared" si="8"/>
        <v>51905</v>
      </c>
      <c r="AD20" s="427"/>
      <c r="AE20" s="118"/>
      <c r="AF20" s="7" t="str">
        <f>IF(C20='Basic Deta'!$I$15,"Yes","No")</f>
        <v>No</v>
      </c>
      <c r="AG20" s="16">
        <f t="shared" si="9"/>
        <v>0</v>
      </c>
      <c r="AH20" s="7">
        <f t="shared" si="10"/>
        <v>0</v>
      </c>
      <c r="AI20" s="16">
        <f t="shared" si="11"/>
        <v>0</v>
      </c>
      <c r="AJ20" s="7"/>
      <c r="AK20" s="7"/>
    </row>
    <row r="21" spans="1:37" s="4" customFormat="1" ht="23.25" customHeight="1">
      <c r="A21" s="41"/>
      <c r="B21" s="436" t="s">
        <v>18</v>
      </c>
      <c r="C21" s="437"/>
      <c r="D21" s="177"/>
      <c r="E21" s="178"/>
      <c r="F21" s="131">
        <f>IF('Basic Deta'!L10&gt;=13,0,'Basic Deta'!C15)</f>
        <v>6774</v>
      </c>
      <c r="G21" s="132"/>
      <c r="H21" s="132"/>
      <c r="I21" s="132"/>
      <c r="J21" s="133"/>
      <c r="K21" s="133"/>
      <c r="L21" s="133"/>
      <c r="M21" s="133"/>
      <c r="N21" s="133"/>
      <c r="O21" s="26">
        <f t="shared" si="0"/>
        <v>6774</v>
      </c>
      <c r="P21" s="183">
        <f>ROUND(O21*25/100,0)</f>
        <v>1694</v>
      </c>
      <c r="Q21" s="184"/>
      <c r="R21" s="184"/>
      <c r="S21" s="185"/>
      <c r="T21" s="185"/>
      <c r="U21" s="185"/>
      <c r="V21" s="185"/>
      <c r="W21" s="185"/>
      <c r="X21" s="185"/>
      <c r="Y21" s="185"/>
      <c r="Z21" s="185"/>
      <c r="AA21" s="185"/>
      <c r="AB21" s="119">
        <f t="shared" si="7"/>
        <v>1694</v>
      </c>
      <c r="AC21" s="120">
        <f t="shared" si="8"/>
        <v>5080</v>
      </c>
      <c r="AD21" s="427"/>
      <c r="AE21" s="118"/>
      <c r="AF21" s="7"/>
      <c r="AG21" s="16">
        <f>SUM(AG9:AG20)</f>
        <v>19550</v>
      </c>
      <c r="AH21" s="16">
        <f t="shared" ref="AH21:AJ21" si="22">SUM(AH9:AH20)</f>
        <v>8211</v>
      </c>
      <c r="AI21" s="16">
        <f t="shared" si="22"/>
        <v>27761</v>
      </c>
      <c r="AJ21" s="16">
        <f t="shared" si="22"/>
        <v>782</v>
      </c>
      <c r="AK21" s="7">
        <f>SUM(AK9:AK20)</f>
        <v>328</v>
      </c>
    </row>
    <row r="22" spans="1:37" s="4" customFormat="1" ht="23.25" customHeight="1">
      <c r="A22" s="41"/>
      <c r="B22" s="438" t="s">
        <v>250</v>
      </c>
      <c r="C22" s="439"/>
      <c r="D22" s="177"/>
      <c r="E22" s="178"/>
      <c r="F22" s="131"/>
      <c r="G22" s="132">
        <f>IF('Basic Deta'!F15="yes",ROUND('Basic Deta'!M10*0.04*3,0),0)</f>
        <v>4560</v>
      </c>
      <c r="H22" s="132"/>
      <c r="I22" s="132"/>
      <c r="J22" s="133"/>
      <c r="K22" s="133"/>
      <c r="L22" s="133"/>
      <c r="M22" s="133"/>
      <c r="N22" s="133"/>
      <c r="O22" s="26">
        <f t="shared" si="0"/>
        <v>4560</v>
      </c>
      <c r="P22" s="183">
        <f>O22</f>
        <v>4560</v>
      </c>
      <c r="Q22" s="184"/>
      <c r="R22" s="184"/>
      <c r="S22" s="185"/>
      <c r="T22" s="185"/>
      <c r="U22" s="185"/>
      <c r="V22" s="185"/>
      <c r="W22" s="185"/>
      <c r="X22" s="185"/>
      <c r="Y22" s="185"/>
      <c r="Z22" s="185"/>
      <c r="AA22" s="185"/>
      <c r="AB22" s="119">
        <f t="shared" si="7"/>
        <v>4560</v>
      </c>
      <c r="AC22" s="120">
        <f t="shared" si="8"/>
        <v>0</v>
      </c>
      <c r="AD22" s="427"/>
      <c r="AE22" s="118"/>
      <c r="AF22" s="7"/>
      <c r="AG22" s="7"/>
      <c r="AH22" s="7"/>
      <c r="AI22" s="7"/>
      <c r="AJ22" s="7"/>
      <c r="AK22" s="7"/>
    </row>
    <row r="23" spans="1:37" s="4" customFormat="1" ht="23.25" customHeight="1">
      <c r="A23" s="41"/>
      <c r="B23" s="438" t="s">
        <v>283</v>
      </c>
      <c r="C23" s="439"/>
      <c r="D23" s="177"/>
      <c r="E23" s="178"/>
      <c r="F23" s="131"/>
      <c r="G23" s="132">
        <f>IF(AND('Basic Deta'!E15&gt;'Basic Deta'!D15,'Basic Deta'!G15="yes"),ROUND(F13*0.04*4,0),0)</f>
        <v>6256</v>
      </c>
      <c r="H23" s="132"/>
      <c r="I23" s="132"/>
      <c r="J23" s="133"/>
      <c r="K23" s="133"/>
      <c r="L23" s="133"/>
      <c r="M23" s="133"/>
      <c r="N23" s="133"/>
      <c r="O23" s="26">
        <f t="shared" si="0"/>
        <v>6256</v>
      </c>
      <c r="P23" s="183">
        <f>O23</f>
        <v>6256</v>
      </c>
      <c r="Q23" s="184"/>
      <c r="R23" s="184"/>
      <c r="S23" s="185"/>
      <c r="T23" s="185"/>
      <c r="U23" s="185"/>
      <c r="V23" s="185"/>
      <c r="W23" s="185"/>
      <c r="X23" s="185"/>
      <c r="Y23" s="185"/>
      <c r="Z23" s="185"/>
      <c r="AA23" s="185"/>
      <c r="AB23" s="119">
        <f t="shared" si="7"/>
        <v>6256</v>
      </c>
      <c r="AC23" s="120">
        <f t="shared" si="8"/>
        <v>0</v>
      </c>
      <c r="AD23" s="427"/>
      <c r="AE23" s="118"/>
      <c r="AF23" s="7"/>
      <c r="AG23" s="7"/>
      <c r="AH23" s="7"/>
      <c r="AI23" s="7"/>
      <c r="AJ23" s="7"/>
      <c r="AK23" s="7"/>
    </row>
    <row r="24" spans="1:37" s="4" customFormat="1" ht="21" customHeight="1">
      <c r="A24" s="41"/>
      <c r="B24" s="436" t="s">
        <v>14</v>
      </c>
      <c r="C24" s="437"/>
      <c r="D24" s="177"/>
      <c r="E24" s="178"/>
      <c r="F24" s="131">
        <f>IF('Basic Deta'!H15="Yes",AG21,0)</f>
        <v>19550</v>
      </c>
      <c r="G24" s="132">
        <f>IF('Basic Deta'!H15="Yes",AH21,0)</f>
        <v>8211</v>
      </c>
      <c r="H24" s="132"/>
      <c r="I24" s="132"/>
      <c r="J24" s="133"/>
      <c r="K24" s="133"/>
      <c r="L24" s="133"/>
      <c r="M24" s="133"/>
      <c r="N24" s="133"/>
      <c r="O24" s="26">
        <f t="shared" si="0"/>
        <v>27761</v>
      </c>
      <c r="P24" s="183"/>
      <c r="Q24" s="184"/>
      <c r="R24" s="184"/>
      <c r="S24" s="185"/>
      <c r="T24" s="185"/>
      <c r="U24" s="185"/>
      <c r="V24" s="185"/>
      <c r="W24" s="185"/>
      <c r="X24" s="185"/>
      <c r="Y24" s="185"/>
      <c r="Z24" s="185"/>
      <c r="AA24" s="185"/>
      <c r="AB24" s="119">
        <f t="shared" si="7"/>
        <v>0</v>
      </c>
      <c r="AC24" s="120">
        <f t="shared" si="8"/>
        <v>27761</v>
      </c>
      <c r="AD24" s="427"/>
      <c r="AE24" s="118"/>
      <c r="AF24" s="7"/>
      <c r="AG24" s="7"/>
      <c r="AH24" s="7"/>
      <c r="AI24" s="7"/>
      <c r="AJ24" s="7"/>
      <c r="AK24" s="7"/>
    </row>
    <row r="25" spans="1:37" s="4" customFormat="1" ht="21" customHeight="1">
      <c r="A25" s="41"/>
      <c r="B25" s="451" t="s">
        <v>238</v>
      </c>
      <c r="C25" s="452"/>
      <c r="D25" s="177"/>
      <c r="E25" s="178"/>
      <c r="F25" s="131"/>
      <c r="G25" s="132">
        <f>IF('Basic Deta'!H15="Yes",AJ21,0)</f>
        <v>782</v>
      </c>
      <c r="H25" s="132"/>
      <c r="I25" s="132"/>
      <c r="J25" s="133"/>
      <c r="K25" s="133"/>
      <c r="L25" s="133"/>
      <c r="M25" s="133"/>
      <c r="N25" s="133"/>
      <c r="O25" s="26">
        <f t="shared" si="0"/>
        <v>782</v>
      </c>
      <c r="P25" s="183">
        <f>G25</f>
        <v>782</v>
      </c>
      <c r="Q25" s="184"/>
      <c r="R25" s="184"/>
      <c r="S25" s="185"/>
      <c r="T25" s="185"/>
      <c r="U25" s="185"/>
      <c r="V25" s="185"/>
      <c r="W25" s="185"/>
      <c r="X25" s="185"/>
      <c r="Y25" s="185"/>
      <c r="Z25" s="185"/>
      <c r="AA25" s="185"/>
      <c r="AB25" s="119">
        <f t="shared" si="7"/>
        <v>782</v>
      </c>
      <c r="AC25" s="120">
        <f t="shared" si="8"/>
        <v>0</v>
      </c>
      <c r="AD25" s="427"/>
      <c r="AE25" s="118"/>
      <c r="AF25" s="7"/>
      <c r="AG25" s="7"/>
      <c r="AH25" s="7"/>
      <c r="AI25" s="7"/>
      <c r="AJ25" s="7"/>
      <c r="AK25" s="7"/>
    </row>
    <row r="26" spans="1:37" s="4" customFormat="1" ht="21" customHeight="1">
      <c r="A26" s="41"/>
      <c r="B26" s="482" t="s">
        <v>36</v>
      </c>
      <c r="C26" s="483"/>
      <c r="D26" s="177"/>
      <c r="E26" s="178"/>
      <c r="F26" s="131"/>
      <c r="G26" s="132"/>
      <c r="H26" s="132"/>
      <c r="I26" s="132"/>
      <c r="J26" s="133"/>
      <c r="K26" s="133"/>
      <c r="L26" s="133"/>
      <c r="M26" s="133"/>
      <c r="N26" s="133"/>
      <c r="O26" s="26">
        <f t="shared" si="0"/>
        <v>0</v>
      </c>
      <c r="P26" s="183"/>
      <c r="Q26" s="184"/>
      <c r="R26" s="184"/>
      <c r="S26" s="185"/>
      <c r="T26" s="185"/>
      <c r="U26" s="185"/>
      <c r="V26" s="185"/>
      <c r="W26" s="185"/>
      <c r="X26" s="185"/>
      <c r="Y26" s="185"/>
      <c r="Z26" s="185"/>
      <c r="AA26" s="185"/>
      <c r="AB26" s="119">
        <f t="shared" si="7"/>
        <v>0</v>
      </c>
      <c r="AC26" s="120">
        <f t="shared" si="8"/>
        <v>0</v>
      </c>
      <c r="AD26" s="427"/>
      <c r="AE26" s="118"/>
      <c r="AF26" s="7"/>
      <c r="AG26" s="7"/>
      <c r="AH26" s="7"/>
      <c r="AI26" s="7"/>
      <c r="AJ26" s="7"/>
      <c r="AK26" s="7"/>
    </row>
    <row r="27" spans="1:37" s="4" customFormat="1" ht="21" customHeight="1">
      <c r="A27" s="41"/>
      <c r="B27" s="436" t="s">
        <v>55</v>
      </c>
      <c r="C27" s="437"/>
      <c r="D27" s="177"/>
      <c r="E27" s="178"/>
      <c r="F27" s="131"/>
      <c r="G27" s="132">
        <f>IF('Basic Deta'!I15="Yes",AJ21,0)</f>
        <v>0</v>
      </c>
      <c r="H27" s="132"/>
      <c r="I27" s="132"/>
      <c r="J27" s="133"/>
      <c r="K27" s="133"/>
      <c r="L27" s="133"/>
      <c r="M27" s="133"/>
      <c r="N27" s="133"/>
      <c r="O27" s="26">
        <f t="shared" si="0"/>
        <v>0</v>
      </c>
      <c r="P27" s="183">
        <f>O27</f>
        <v>0</v>
      </c>
      <c r="Q27" s="184"/>
      <c r="R27" s="184"/>
      <c r="S27" s="185"/>
      <c r="T27" s="185"/>
      <c r="U27" s="185"/>
      <c r="V27" s="185"/>
      <c r="W27" s="185"/>
      <c r="X27" s="185"/>
      <c r="Y27" s="185"/>
      <c r="Z27" s="185"/>
      <c r="AA27" s="185"/>
      <c r="AB27" s="119">
        <f t="shared" si="7"/>
        <v>0</v>
      </c>
      <c r="AC27" s="120">
        <f t="shared" si="8"/>
        <v>0</v>
      </c>
      <c r="AD27" s="427"/>
      <c r="AE27" s="118"/>
      <c r="AF27" s="7"/>
      <c r="AG27" s="7"/>
      <c r="AH27" s="7"/>
      <c r="AI27" s="7"/>
      <c r="AJ27" s="7"/>
      <c r="AK27" s="7"/>
    </row>
    <row r="28" spans="1:37" s="4" customFormat="1" ht="21" customHeight="1">
      <c r="A28" s="41"/>
      <c r="B28" s="482" t="s">
        <v>45</v>
      </c>
      <c r="C28" s="483"/>
      <c r="D28" s="177"/>
      <c r="E28" s="178"/>
      <c r="F28" s="131"/>
      <c r="G28" s="132"/>
      <c r="H28" s="132"/>
      <c r="I28" s="132"/>
      <c r="J28" s="133"/>
      <c r="K28" s="133"/>
      <c r="L28" s="133"/>
      <c r="M28" s="133"/>
      <c r="N28" s="133"/>
      <c r="O28" s="26">
        <f t="shared" si="0"/>
        <v>0</v>
      </c>
      <c r="P28" s="183"/>
      <c r="Q28" s="184"/>
      <c r="R28" s="184"/>
      <c r="S28" s="185"/>
      <c r="T28" s="185"/>
      <c r="U28" s="185"/>
      <c r="V28" s="185"/>
      <c r="W28" s="185"/>
      <c r="X28" s="185"/>
      <c r="Y28" s="185"/>
      <c r="Z28" s="185"/>
      <c r="AA28" s="185"/>
      <c r="AB28" s="119">
        <f t="shared" si="7"/>
        <v>0</v>
      </c>
      <c r="AC28" s="120">
        <f t="shared" si="8"/>
        <v>0</v>
      </c>
      <c r="AD28" s="427"/>
      <c r="AE28" s="118"/>
      <c r="AF28" s="7"/>
      <c r="AG28" s="7"/>
      <c r="AH28" s="7"/>
      <c r="AI28" s="7"/>
      <c r="AJ28" s="7"/>
      <c r="AK28" s="7"/>
    </row>
    <row r="29" spans="1:37" s="4" customFormat="1" ht="21" customHeight="1">
      <c r="A29" s="41"/>
      <c r="B29" s="482" t="s">
        <v>46</v>
      </c>
      <c r="C29" s="483"/>
      <c r="D29" s="177"/>
      <c r="E29" s="178"/>
      <c r="F29" s="131"/>
      <c r="G29" s="132"/>
      <c r="H29" s="132"/>
      <c r="I29" s="132"/>
      <c r="J29" s="133"/>
      <c r="K29" s="133"/>
      <c r="L29" s="133"/>
      <c r="M29" s="133"/>
      <c r="N29" s="133"/>
      <c r="O29" s="26">
        <f t="shared" si="0"/>
        <v>0</v>
      </c>
      <c r="P29" s="183"/>
      <c r="Q29" s="184"/>
      <c r="R29" s="184"/>
      <c r="S29" s="185"/>
      <c r="T29" s="185"/>
      <c r="U29" s="185"/>
      <c r="V29" s="185"/>
      <c r="W29" s="185"/>
      <c r="X29" s="185"/>
      <c r="Y29" s="185"/>
      <c r="Z29" s="185"/>
      <c r="AA29" s="185"/>
      <c r="AB29" s="119">
        <f t="shared" si="7"/>
        <v>0</v>
      </c>
      <c r="AC29" s="120">
        <f t="shared" si="8"/>
        <v>0</v>
      </c>
      <c r="AD29" s="427"/>
      <c r="AE29" s="118"/>
      <c r="AF29" s="7"/>
      <c r="AG29" s="7"/>
      <c r="AH29" s="7"/>
      <c r="AI29" s="7"/>
      <c r="AJ29" s="7"/>
      <c r="AK29" s="7"/>
    </row>
    <row r="30" spans="1:37" s="4" customFormat="1" ht="21" customHeight="1" thickBot="1">
      <c r="A30" s="41"/>
      <c r="B30" s="484" t="s">
        <v>47</v>
      </c>
      <c r="C30" s="485"/>
      <c r="D30" s="179"/>
      <c r="E30" s="180"/>
      <c r="F30" s="134"/>
      <c r="G30" s="135"/>
      <c r="H30" s="135"/>
      <c r="I30" s="135"/>
      <c r="J30" s="136"/>
      <c r="K30" s="136"/>
      <c r="L30" s="136"/>
      <c r="M30" s="136"/>
      <c r="N30" s="136"/>
      <c r="O30" s="27">
        <f t="shared" si="0"/>
        <v>0</v>
      </c>
      <c r="P30" s="187"/>
      <c r="Q30" s="188"/>
      <c r="R30" s="188"/>
      <c r="S30" s="189"/>
      <c r="T30" s="189"/>
      <c r="U30" s="189"/>
      <c r="V30" s="189"/>
      <c r="W30" s="189"/>
      <c r="X30" s="189"/>
      <c r="Y30" s="189"/>
      <c r="Z30" s="189"/>
      <c r="AA30" s="189"/>
      <c r="AB30" s="121">
        <f t="shared" si="7"/>
        <v>0</v>
      </c>
      <c r="AC30" s="122">
        <f t="shared" si="8"/>
        <v>0</v>
      </c>
      <c r="AD30" s="427"/>
      <c r="AE30" s="118"/>
      <c r="AF30" s="7"/>
      <c r="AG30" s="7"/>
      <c r="AH30" s="7"/>
      <c r="AI30" s="7"/>
      <c r="AJ30" s="7"/>
      <c r="AK30" s="7"/>
    </row>
    <row r="31" spans="1:37" s="4" customFormat="1" ht="87" customHeight="1" thickBot="1">
      <c r="A31" s="42"/>
      <c r="B31" s="469" t="s">
        <v>8</v>
      </c>
      <c r="C31" s="470"/>
      <c r="D31" s="470"/>
      <c r="E31" s="471"/>
      <c r="F31" s="123">
        <f t="array" ref="F31">SUM(F9:F30)</f>
        <v>491124</v>
      </c>
      <c r="G31" s="31">
        <f t="array" ref="G31">SUM(G9:G30)</f>
        <v>219761</v>
      </c>
      <c r="H31" s="31">
        <f t="array" ref="H31">SUM(H9:H30)</f>
        <v>41832</v>
      </c>
      <c r="I31" s="31">
        <f t="array" ref="I31">SUM(I9:I30)</f>
        <v>0</v>
      </c>
      <c r="J31" s="31">
        <f t="array" ref="J31">SUM(J9:J30)</f>
        <v>0</v>
      </c>
      <c r="K31" s="31">
        <f t="array" ref="K31">SUM(K9:K30)</f>
        <v>0</v>
      </c>
      <c r="L31" s="31">
        <f t="array" ref="L31">SUM(L9:L30)</f>
        <v>0</v>
      </c>
      <c r="M31" s="31">
        <f t="array" ref="M31">SUM(M9:M30)</f>
        <v>0</v>
      </c>
      <c r="N31" s="31">
        <f t="array" ref="N31">SUM(N9:N30)</f>
        <v>0</v>
      </c>
      <c r="O31" s="32">
        <f t="array" ref="O31">SUM(O9:O30)</f>
        <v>752717</v>
      </c>
      <c r="P31" s="124">
        <f t="array" ref="P31">SUM(P9:P30)</f>
        <v>47492</v>
      </c>
      <c r="Q31" s="31">
        <f t="array" ref="Q31">SUM(Q9:Q30)</f>
        <v>60000</v>
      </c>
      <c r="R31" s="31">
        <f t="array" ref="R31">SUM(R9:R30)</f>
        <v>0</v>
      </c>
      <c r="S31" s="31">
        <f t="array" ref="S31">SUM(S9:S30)</f>
        <v>10200</v>
      </c>
      <c r="T31" s="31">
        <f t="array" ref="T31">SUM(T9:T30)</f>
        <v>0</v>
      </c>
      <c r="U31" s="31">
        <f t="array" ref="U31">SUM(U9:U30)</f>
        <v>1400</v>
      </c>
      <c r="V31" s="31">
        <f t="array" ref="V31">SUM(V9:V30)</f>
        <v>0</v>
      </c>
      <c r="W31" s="31">
        <f t="array" ref="W31">SUM(W9:W30)</f>
        <v>0</v>
      </c>
      <c r="X31" s="31">
        <f t="array" ref="X31">SUM(X9:X30)</f>
        <v>250</v>
      </c>
      <c r="Y31" s="31">
        <f t="array" ref="Y31">SUM(Y9:Y30)</f>
        <v>0</v>
      </c>
      <c r="Z31" s="123">
        <f t="array" ref="Z31">SUM(Z9:Z30)</f>
        <v>0</v>
      </c>
      <c r="AA31" s="31">
        <f t="array" ref="AA31">SUM(AA9:AA30)</f>
        <v>0</v>
      </c>
      <c r="AB31" s="125">
        <f t="array" ref="AB31">SUM(AB9:AB30)</f>
        <v>119342</v>
      </c>
      <c r="AC31" s="126">
        <f t="array" ref="AC31">SUM(AC9:AC30)</f>
        <v>633375</v>
      </c>
      <c r="AD31" s="427"/>
      <c r="AE31" s="127"/>
      <c r="AF31" s="7"/>
      <c r="AG31" s="7"/>
      <c r="AH31" s="7"/>
      <c r="AI31" s="7"/>
      <c r="AJ31" s="7"/>
      <c r="AK31" s="7"/>
    </row>
    <row r="32" spans="1:37" s="4" customFormat="1" ht="53.25" customHeight="1" thickBot="1">
      <c r="B32" s="464" t="str">
        <f>CONCATENATE("Siganture of Employee", "(",'Basic Deta'!B10,")")</f>
        <v>Siganture of Employee()</v>
      </c>
      <c r="C32" s="465"/>
      <c r="D32" s="465"/>
      <c r="E32" s="465"/>
      <c r="F32" s="465"/>
      <c r="G32" s="465"/>
      <c r="H32" s="465"/>
      <c r="I32" s="465"/>
      <c r="J32" s="465"/>
      <c r="K32" s="465"/>
      <c r="L32" s="465"/>
      <c r="M32" s="465"/>
      <c r="N32" s="465"/>
      <c r="O32" s="466"/>
      <c r="P32" s="467" t="str">
        <f>CONCATENATE("Signature of DDO"," ","(",'Basic Deta'!O6,")")</f>
        <v>Signature of DDO ()</v>
      </c>
      <c r="Q32" s="465"/>
      <c r="R32" s="465"/>
      <c r="S32" s="465"/>
      <c r="T32" s="465"/>
      <c r="U32" s="465"/>
      <c r="V32" s="465"/>
      <c r="W32" s="465"/>
      <c r="X32" s="465"/>
      <c r="Y32" s="465"/>
      <c r="Z32" s="465"/>
      <c r="AA32" s="465"/>
      <c r="AB32" s="465"/>
      <c r="AC32" s="468"/>
      <c r="AD32" s="427"/>
      <c r="AE32" s="128"/>
      <c r="AF32" s="7"/>
      <c r="AG32" s="7"/>
      <c r="AH32" s="7"/>
      <c r="AI32" s="7"/>
      <c r="AJ32" s="7"/>
      <c r="AK32" s="7"/>
    </row>
    <row r="33" hidden="1"/>
    <row r="34" hidden="1"/>
    <row r="35" hidden="1"/>
    <row r="36" hidden="1"/>
    <row r="37" hidden="1"/>
    <row r="38" hidden="1"/>
    <row r="39" hidden="1"/>
    <row r="40" hidden="1"/>
    <row r="41" hidden="1"/>
    <row r="42" hidden="1"/>
    <row r="43" hidden="1"/>
    <row r="44" hidden="1"/>
    <row r="45" hidden="1"/>
    <row r="46" hidden="1"/>
    <row r="47" hidden="1"/>
    <row r="48" hidden="1"/>
    <row r="49" hidden="1"/>
    <row r="50" hidden="1"/>
    <row r="51" hidden="1"/>
    <row r="52" hidden="1"/>
    <row r="53" hidden="1"/>
    <row r="54" hidden="1"/>
    <row r="55" hidden="1"/>
    <row r="56" hidden="1"/>
    <row r="57" hidden="1"/>
    <row r="58" hidden="1"/>
    <row r="59" hidden="1"/>
    <row r="60" hidden="1"/>
    <row r="61" hidden="1"/>
    <row r="62" hidden="1"/>
    <row r="63" hidden="1"/>
    <row r="64" hidden="1"/>
    <row r="65" hidden="1"/>
    <row r="66" hidden="1"/>
    <row r="67" hidden="1"/>
    <row r="68" hidden="1"/>
    <row r="69" hidden="1"/>
    <row r="70" hidden="1"/>
    <row r="71" hidden="1"/>
    <row r="72" hidden="1"/>
    <row r="73" hidden="1"/>
    <row r="74" hidden="1"/>
    <row r="75" hidden="1"/>
    <row r="76" hidden="1"/>
    <row r="77" hidden="1"/>
    <row r="78" hidden="1"/>
    <row r="79" hidden="1"/>
    <row r="80" hidden="1"/>
    <row r="81" hidden="1"/>
    <row r="82" hidden="1"/>
    <row r="83" hidden="1"/>
    <row r="84" hidden="1"/>
    <row r="85" hidden="1"/>
    <row r="86" hidden="1"/>
    <row r="87" hidden="1"/>
    <row r="88" hidden="1"/>
    <row r="89" hidden="1"/>
    <row r="90" hidden="1"/>
    <row r="91" hidden="1"/>
    <row r="92" hidden="1"/>
    <row r="93" hidden="1"/>
    <row r="94" hidden="1"/>
    <row r="95" hidden="1"/>
    <row r="96" hidden="1"/>
    <row r="97" hidden="1"/>
    <row r="98" hidden="1"/>
    <row r="99" hidden="1"/>
    <row r="100" hidden="1"/>
    <row r="101" hidden="1"/>
    <row r="102" hidden="1"/>
    <row r="103" hidden="1"/>
    <row r="104" hidden="1"/>
    <row r="105" hidden="1"/>
    <row r="106" hidden="1"/>
    <row r="107" hidden="1"/>
    <row r="108" hidden="1"/>
    <row r="109" hidden="1"/>
    <row r="110" hidden="1"/>
    <row r="111" hidden="1"/>
    <row r="112" hidden="1"/>
    <row r="113" hidden="1"/>
    <row r="114" hidden="1"/>
    <row r="115" hidden="1"/>
    <row r="116" hidden="1"/>
    <row r="117" hidden="1"/>
    <row r="118" hidden="1"/>
    <row r="119" hidden="1"/>
    <row r="120" hidden="1"/>
    <row r="121" hidden="1"/>
    <row r="122" hidden="1"/>
    <row r="123" hidden="1"/>
    <row r="124" hidden="1"/>
    <row r="125" hidden="1"/>
    <row r="126" hidden="1"/>
    <row r="127" hidden="1"/>
    <row r="128" hidden="1"/>
    <row r="129" hidden="1"/>
    <row r="130" hidden="1"/>
    <row r="131" hidden="1"/>
    <row r="132" hidden="1"/>
    <row r="133" hidden="1"/>
    <row r="134" hidden="1"/>
    <row r="135" hidden="1"/>
    <row r="136" hidden="1"/>
    <row r="137" hidden="1"/>
    <row r="138" hidden="1"/>
    <row r="139" hidden="1"/>
    <row r="140" hidden="1"/>
    <row r="141" hidden="1"/>
    <row r="142" hidden="1"/>
    <row r="143" hidden="1"/>
    <row r="144" hidden="1"/>
    <row r="145" hidden="1"/>
    <row r="146" hidden="1"/>
    <row r="147" hidden="1"/>
    <row r="148" hidden="1"/>
    <row r="149" hidden="1"/>
    <row r="150" hidden="1"/>
    <row r="151" hidden="1"/>
    <row r="152" hidden="1"/>
    <row r="153" hidden="1"/>
    <row r="154" hidden="1"/>
    <row r="155" hidden="1"/>
    <row r="156" hidden="1"/>
    <row r="157" hidden="1"/>
    <row r="158" hidden="1"/>
    <row r="159" hidden="1"/>
    <row r="160" hidden="1"/>
    <row r="161" hidden="1"/>
    <row r="162" hidden="1"/>
    <row r="163" hidden="1"/>
    <row r="164" hidden="1"/>
    <row r="165" hidden="1"/>
    <row r="166" hidden="1"/>
    <row r="167" hidden="1"/>
    <row r="168" hidden="1"/>
    <row r="169" hidden="1"/>
    <row r="170" hidden="1"/>
    <row r="171" hidden="1"/>
    <row r="172" hidden="1"/>
    <row r="173" hidden="1"/>
    <row r="174" hidden="1"/>
    <row r="175" hidden="1"/>
    <row r="176" hidden="1"/>
    <row r="177" hidden="1"/>
    <row r="178" hidden="1"/>
    <row r="179" hidden="1"/>
    <row r="180" hidden="1"/>
    <row r="181" hidden="1"/>
    <row r="182" hidden="1"/>
    <row r="183" hidden="1"/>
    <row r="184" hidden="1"/>
    <row r="185" hidden="1"/>
    <row r="186" hidden="1"/>
    <row r="187" hidden="1"/>
    <row r="188" hidden="1"/>
    <row r="189" hidden="1"/>
    <row r="190" hidden="1"/>
    <row r="191" hidden="1"/>
    <row r="192" hidden="1"/>
    <row r="193" hidden="1"/>
    <row r="194" hidden="1"/>
    <row r="195" hidden="1"/>
    <row r="196" hidden="1"/>
    <row r="197" hidden="1"/>
    <row r="198" hidden="1"/>
    <row r="199" hidden="1"/>
    <row r="200" hidden="1"/>
    <row r="201" hidden="1"/>
    <row r="202" hidden="1"/>
    <row r="203" hidden="1"/>
    <row r="204" hidden="1"/>
    <row r="205" hidden="1"/>
    <row r="206" hidden="1"/>
    <row r="207" hidden="1"/>
    <row r="208" hidden="1"/>
    <row r="209" hidden="1"/>
    <row r="210" hidden="1"/>
    <row r="211" hidden="1"/>
    <row r="212" hidden="1"/>
    <row r="213" hidden="1"/>
    <row r="214" hidden="1"/>
    <row r="215" hidden="1"/>
    <row r="216" hidden="1"/>
    <row r="217" hidden="1"/>
    <row r="218" hidden="1"/>
    <row r="219" hidden="1"/>
    <row r="220" hidden="1"/>
    <row r="221" hidden="1"/>
    <row r="222" hidden="1"/>
    <row r="223" hidden="1"/>
    <row r="224" hidden="1"/>
    <row r="225" hidden="1"/>
    <row r="226" hidden="1"/>
    <row r="227" hidden="1"/>
    <row r="228" hidden="1"/>
    <row r="229" hidden="1"/>
    <row r="230" hidden="1"/>
    <row r="231" hidden="1"/>
    <row r="232" hidden="1"/>
    <row r="233" hidden="1"/>
    <row r="234" hidden="1"/>
    <row r="235" hidden="1"/>
    <row r="236" hidden="1"/>
    <row r="237" hidden="1"/>
    <row r="238" hidden="1"/>
    <row r="239" hidden="1"/>
    <row r="240" hidden="1"/>
    <row r="241" hidden="1"/>
    <row r="242" hidden="1"/>
    <row r="243" hidden="1"/>
    <row r="244" hidden="1"/>
    <row r="245" hidden="1"/>
    <row r="246" hidden="1"/>
    <row r="247" hidden="1"/>
    <row r="248" hidden="1"/>
    <row r="249" hidden="1"/>
    <row r="250" hidden="1"/>
    <row r="251" hidden="1"/>
    <row r="252" hidden="1"/>
    <row r="253" hidden="1"/>
    <row r="254" hidden="1"/>
    <row r="255" hidden="1"/>
    <row r="256" hidden="1"/>
    <row r="257" hidden="1"/>
    <row r="258" hidden="1"/>
    <row r="259" hidden="1"/>
    <row r="260" hidden="1"/>
    <row r="261" hidden="1"/>
    <row r="262" hidden="1"/>
    <row r="263" hidden="1"/>
    <row r="264" hidden="1"/>
    <row r="265" hidden="1"/>
    <row r="266" hidden="1"/>
    <row r="267" hidden="1"/>
    <row r="268" hidden="1"/>
    <row r="269" hidden="1"/>
    <row r="270" hidden="1"/>
    <row r="271" hidden="1"/>
    <row r="272" hidden="1"/>
    <row r="273" hidden="1"/>
    <row r="274" hidden="1"/>
    <row r="275" hidden="1"/>
    <row r="276" hidden="1"/>
    <row r="277" hidden="1"/>
    <row r="278" hidden="1"/>
    <row r="279" hidden="1"/>
    <row r="280" hidden="1"/>
    <row r="281" hidden="1"/>
    <row r="282" hidden="1"/>
    <row r="283" hidden="1"/>
    <row r="284" hidden="1"/>
    <row r="285" hidden="1"/>
    <row r="286" hidden="1"/>
    <row r="287" hidden="1"/>
    <row r="288" hidden="1"/>
    <row r="289" hidden="1"/>
    <row r="290" hidden="1"/>
    <row r="291" hidden="1"/>
    <row r="292" hidden="1"/>
    <row r="293" hidden="1"/>
    <row r="294" hidden="1"/>
    <row r="295" hidden="1"/>
    <row r="296" hidden="1"/>
    <row r="297" hidden="1"/>
    <row r="298" hidden="1"/>
    <row r="299" hidden="1"/>
    <row r="300" hidden="1"/>
    <row r="301" hidden="1"/>
    <row r="302" hidden="1"/>
    <row r="303" hidden="1"/>
    <row r="304" hidden="1"/>
    <row r="305" hidden="1"/>
    <row r="306" hidden="1"/>
    <row r="307" hidden="1"/>
    <row r="308" hidden="1"/>
    <row r="309" hidden="1"/>
    <row r="310" hidden="1"/>
    <row r="311" hidden="1"/>
    <row r="312" hidden="1"/>
    <row r="313" hidden="1"/>
    <row r="314" hidden="1"/>
    <row r="315" hidden="1"/>
    <row r="316" hidden="1"/>
    <row r="317" hidden="1"/>
    <row r="318" hidden="1"/>
    <row r="319" hidden="1"/>
    <row r="320" hidden="1"/>
    <row r="321" hidden="1"/>
    <row r="322" hidden="1"/>
    <row r="323" hidden="1"/>
    <row r="324" hidden="1"/>
    <row r="325" hidden="1"/>
    <row r="326" hidden="1"/>
    <row r="327" hidden="1"/>
    <row r="328" hidden="1"/>
    <row r="329" hidden="1"/>
    <row r="330" hidden="1"/>
    <row r="331" hidden="1"/>
    <row r="332" hidden="1"/>
    <row r="333" hidden="1"/>
    <row r="334" hidden="1"/>
    <row r="335" hidden="1"/>
    <row r="336" hidden="1"/>
    <row r="337" hidden="1"/>
    <row r="338" hidden="1"/>
    <row r="339" hidden="1"/>
    <row r="340" hidden="1"/>
    <row r="341" hidden="1"/>
    <row r="342" hidden="1"/>
    <row r="343" hidden="1"/>
    <row r="344" hidden="1"/>
    <row r="345" hidden="1"/>
    <row r="346" hidden="1"/>
    <row r="347" hidden="1"/>
    <row r="348" hidden="1"/>
    <row r="349" hidden="1"/>
    <row r="350" hidden="1"/>
    <row r="351" hidden="1"/>
    <row r="352" hidden="1"/>
    <row r="353" hidden="1"/>
    <row r="354" hidden="1"/>
    <row r="355" hidden="1"/>
    <row r="356" hidden="1"/>
    <row r="357" hidden="1"/>
    <row r="358" hidden="1"/>
    <row r="359" hidden="1"/>
    <row r="360" hidden="1"/>
    <row r="361" hidden="1"/>
    <row r="362" hidden="1"/>
    <row r="363" hidden="1"/>
    <row r="364" hidden="1"/>
    <row r="365" hidden="1"/>
    <row r="366" hidden="1"/>
    <row r="367" hidden="1"/>
    <row r="368" hidden="1"/>
    <row r="369" hidden="1"/>
    <row r="370" hidden="1"/>
    <row r="371" hidden="1"/>
    <row r="372" hidden="1"/>
    <row r="373" hidden="1"/>
    <row r="374" hidden="1"/>
    <row r="375" hidden="1"/>
    <row r="376" hidden="1"/>
    <row r="377" hidden="1"/>
    <row r="378" hidden="1"/>
    <row r="379" hidden="1"/>
    <row r="380" hidden="1"/>
    <row r="381" hidden="1"/>
    <row r="382" hidden="1"/>
    <row r="383" hidden="1"/>
    <row r="384" hidden="1"/>
    <row r="385" hidden="1"/>
    <row r="386" hidden="1"/>
    <row r="387" hidden="1"/>
    <row r="388" hidden="1"/>
    <row r="389" hidden="1"/>
    <row r="390" hidden="1"/>
    <row r="391" hidden="1"/>
    <row r="392" hidden="1"/>
    <row r="393" hidden="1"/>
    <row r="394" hidden="1"/>
    <row r="395" hidden="1"/>
    <row r="396" hidden="1"/>
    <row r="397" hidden="1"/>
    <row r="398" hidden="1"/>
    <row r="399" hidden="1"/>
    <row r="400" hidden="1"/>
    <row r="401" hidden="1"/>
    <row r="402" hidden="1"/>
    <row r="403" hidden="1"/>
    <row r="404" hidden="1"/>
    <row r="405" hidden="1"/>
    <row r="406" hidden="1"/>
    <row r="407" hidden="1"/>
    <row r="408" hidden="1"/>
    <row r="409" hidden="1"/>
    <row r="410" hidden="1"/>
    <row r="411" hidden="1"/>
    <row r="412" hidden="1"/>
    <row r="413" hidden="1"/>
    <row r="414" hidden="1"/>
    <row r="415" hidden="1"/>
    <row r="416" hidden="1"/>
    <row r="417" hidden="1"/>
    <row r="418" hidden="1"/>
    <row r="419" hidden="1"/>
    <row r="420" hidden="1"/>
    <row r="421" hidden="1"/>
    <row r="422" hidden="1"/>
    <row r="423" hidden="1"/>
    <row r="424" hidden="1"/>
    <row r="425" hidden="1"/>
    <row r="426" hidden="1"/>
    <row r="427" hidden="1"/>
    <row r="428" hidden="1"/>
    <row r="429" hidden="1"/>
    <row r="430" hidden="1"/>
    <row r="431" hidden="1"/>
    <row r="432" hidden="1"/>
    <row r="433" hidden="1"/>
    <row r="434" hidden="1"/>
    <row r="435" hidden="1"/>
    <row r="436" hidden="1"/>
    <row r="437" hidden="1"/>
    <row r="438" hidden="1"/>
    <row r="439" hidden="1"/>
    <row r="440" hidden="1"/>
    <row r="441" hidden="1"/>
    <row r="442" hidden="1"/>
    <row r="443" hidden="1"/>
    <row r="444" hidden="1"/>
    <row r="445" hidden="1"/>
    <row r="446" hidden="1"/>
    <row r="447" hidden="1"/>
    <row r="448" hidden="1"/>
    <row r="449" hidden="1"/>
    <row r="450" hidden="1"/>
    <row r="451" hidden="1"/>
    <row r="452" hidden="1"/>
    <row r="453" hidden="1"/>
    <row r="454" hidden="1"/>
    <row r="455" hidden="1"/>
    <row r="456" hidden="1"/>
    <row r="457" hidden="1"/>
    <row r="458" hidden="1"/>
    <row r="459" hidden="1"/>
    <row r="460" hidden="1"/>
    <row r="461" hidden="1"/>
    <row r="462" hidden="1"/>
    <row r="463" hidden="1"/>
    <row r="464" hidden="1"/>
    <row r="465" hidden="1"/>
    <row r="466" hidden="1"/>
    <row r="467" hidden="1"/>
    <row r="468" hidden="1"/>
    <row r="469" hidden="1"/>
    <row r="470" hidden="1"/>
    <row r="471" hidden="1"/>
    <row r="472" hidden="1"/>
    <row r="473" hidden="1"/>
    <row r="474" hidden="1"/>
    <row r="475" hidden="1"/>
    <row r="476" hidden="1"/>
    <row r="477" hidden="1"/>
    <row r="478" hidden="1"/>
    <row r="479" hidden="1"/>
    <row r="480" hidden="1"/>
    <row r="481" hidden="1"/>
    <row r="482" hidden="1"/>
    <row r="483" hidden="1"/>
    <row r="484" hidden="1"/>
    <row r="485" hidden="1"/>
    <row r="486" hidden="1"/>
    <row r="487" hidden="1"/>
    <row r="488" hidden="1"/>
    <row r="489" hidden="1"/>
    <row r="490" hidden="1"/>
    <row r="491" hidden="1"/>
    <row r="492" hidden="1"/>
    <row r="493" hidden="1"/>
    <row r="494" hidden="1"/>
    <row r="495" hidden="1"/>
    <row r="496" hidden="1"/>
    <row r="497" hidden="1"/>
    <row r="498" hidden="1"/>
    <row r="499" hidden="1"/>
    <row r="500" hidden="1"/>
    <row r="501" hidden="1"/>
    <row r="502" hidden="1"/>
    <row r="503" hidden="1"/>
    <row r="504" hidden="1"/>
    <row r="505" hidden="1"/>
    <row r="506" hidden="1"/>
    <row r="507" hidden="1"/>
    <row r="508" hidden="1"/>
    <row r="509" hidden="1"/>
    <row r="510" hidden="1"/>
    <row r="511" hidden="1"/>
    <row r="512" hidden="1"/>
    <row r="513" hidden="1"/>
    <row r="514" hidden="1"/>
    <row r="515" hidden="1"/>
    <row r="516" hidden="1"/>
    <row r="517" hidden="1"/>
    <row r="518" hidden="1"/>
    <row r="519" hidden="1"/>
    <row r="520" hidden="1"/>
    <row r="521" hidden="1"/>
    <row r="522" hidden="1"/>
    <row r="523" hidden="1"/>
    <row r="524" hidden="1"/>
    <row r="525" hidden="1"/>
    <row r="526" hidden="1"/>
    <row r="527" hidden="1"/>
    <row r="528" hidden="1"/>
    <row r="529" hidden="1"/>
    <row r="530" hidden="1"/>
    <row r="531" hidden="1"/>
    <row r="532" hidden="1"/>
    <row r="533" hidden="1"/>
    <row r="534" hidden="1"/>
    <row r="535" hidden="1"/>
    <row r="536" hidden="1"/>
    <row r="537" hidden="1"/>
    <row r="538" hidden="1"/>
    <row r="539" hidden="1"/>
    <row r="540" hidden="1"/>
    <row r="541" hidden="1"/>
    <row r="542" hidden="1"/>
    <row r="543" hidden="1"/>
    <row r="544" hidden="1"/>
    <row r="545" hidden="1"/>
    <row r="546" hidden="1"/>
    <row r="547" hidden="1"/>
    <row r="548" hidden="1"/>
    <row r="549" hidden="1"/>
    <row r="550" hidden="1"/>
    <row r="551" hidden="1"/>
    <row r="552" hidden="1"/>
    <row r="553" hidden="1"/>
    <row r="554" hidden="1"/>
    <row r="555" hidden="1"/>
    <row r="556" hidden="1"/>
    <row r="557" hidden="1"/>
    <row r="558" hidden="1"/>
    <row r="559" hidden="1"/>
    <row r="560" hidden="1"/>
    <row r="561" hidden="1"/>
    <row r="562" hidden="1"/>
    <row r="563" hidden="1"/>
    <row r="564" hidden="1"/>
    <row r="565" hidden="1"/>
    <row r="566" hidden="1"/>
    <row r="567" hidden="1"/>
    <row r="568" hidden="1"/>
    <row r="569" hidden="1"/>
    <row r="570" hidden="1"/>
    <row r="571" hidden="1"/>
    <row r="572" hidden="1"/>
    <row r="573" hidden="1"/>
    <row r="574" hidden="1"/>
    <row r="575" hidden="1"/>
    <row r="576" hidden="1"/>
    <row r="577" hidden="1"/>
    <row r="578" hidden="1"/>
    <row r="579" hidden="1"/>
    <row r="580" hidden="1"/>
    <row r="581" hidden="1"/>
    <row r="582" hidden="1"/>
    <row r="583" hidden="1"/>
    <row r="584" hidden="1"/>
    <row r="585" hidden="1"/>
    <row r="586" hidden="1"/>
    <row r="587" hidden="1"/>
    <row r="588" hidden="1"/>
    <row r="589" hidden="1"/>
    <row r="590" hidden="1"/>
    <row r="591" hidden="1"/>
    <row r="592" hidden="1"/>
    <row r="593" hidden="1"/>
    <row r="594" hidden="1"/>
    <row r="595" hidden="1"/>
    <row r="596" hidden="1"/>
    <row r="597" hidden="1"/>
    <row r="598" hidden="1"/>
    <row r="599" hidden="1"/>
    <row r="600" hidden="1"/>
    <row r="601" hidden="1"/>
    <row r="602" hidden="1"/>
    <row r="603" hidden="1"/>
    <row r="604" hidden="1"/>
    <row r="605" hidden="1"/>
    <row r="606" hidden="1"/>
    <row r="607" hidden="1"/>
    <row r="608" hidden="1"/>
    <row r="609" hidden="1"/>
    <row r="610" hidden="1"/>
    <row r="611" hidden="1"/>
    <row r="612" hidden="1"/>
    <row r="613" hidden="1"/>
    <row r="614" hidden="1"/>
    <row r="615" hidden="1"/>
    <row r="616" hidden="1"/>
    <row r="617" hidden="1"/>
    <row r="618" hidden="1"/>
    <row r="619" hidden="1"/>
    <row r="620" hidden="1"/>
    <row r="621" hidden="1"/>
    <row r="622" hidden="1"/>
    <row r="623" hidden="1"/>
    <row r="624" hidden="1"/>
    <row r="625" hidden="1"/>
    <row r="626" hidden="1"/>
    <row r="627" hidden="1"/>
    <row r="628" hidden="1"/>
    <row r="629" hidden="1"/>
    <row r="630" hidden="1"/>
    <row r="631" hidden="1"/>
    <row r="632" hidden="1"/>
    <row r="633" hidden="1"/>
    <row r="634" hidden="1"/>
    <row r="635" hidden="1"/>
    <row r="636" hidden="1"/>
    <row r="637" hidden="1"/>
    <row r="638" hidden="1"/>
    <row r="639" hidden="1"/>
    <row r="640" hidden="1"/>
    <row r="641" hidden="1"/>
    <row r="642" hidden="1"/>
    <row r="643" hidden="1"/>
    <row r="644" hidden="1"/>
    <row r="645" hidden="1"/>
    <row r="646" hidden="1"/>
    <row r="647" hidden="1"/>
    <row r="648" hidden="1"/>
    <row r="649" hidden="1"/>
    <row r="650" hidden="1"/>
    <row r="651" hidden="1"/>
    <row r="652" hidden="1"/>
    <row r="653" hidden="1"/>
    <row r="654" hidden="1"/>
    <row r="655" hidden="1"/>
    <row r="656" hidden="1"/>
    <row r="657" hidden="1"/>
    <row r="658" hidden="1"/>
    <row r="659" hidden="1"/>
    <row r="660" hidden="1"/>
    <row r="661" hidden="1"/>
    <row r="662" hidden="1"/>
    <row r="663" hidden="1"/>
    <row r="664" hidden="1"/>
    <row r="665" hidden="1"/>
    <row r="666" hidden="1"/>
    <row r="667" hidden="1"/>
    <row r="668" hidden="1"/>
    <row r="669" hidden="1"/>
    <row r="670" hidden="1"/>
    <row r="671" hidden="1"/>
    <row r="672" hidden="1"/>
    <row r="673" hidden="1"/>
    <row r="674" hidden="1"/>
    <row r="675" hidden="1"/>
    <row r="676" hidden="1"/>
    <row r="677" hidden="1"/>
    <row r="678" hidden="1"/>
    <row r="679" hidden="1"/>
    <row r="680" hidden="1"/>
    <row r="681" hidden="1"/>
    <row r="682" hidden="1"/>
    <row r="683" hidden="1"/>
    <row r="684" hidden="1"/>
    <row r="685" hidden="1"/>
    <row r="686" hidden="1"/>
    <row r="687" hidden="1"/>
    <row r="688" hidden="1"/>
    <row r="689" hidden="1"/>
    <row r="690" hidden="1"/>
    <row r="691" hidden="1"/>
    <row r="692" hidden="1"/>
    <row r="693" hidden="1"/>
    <row r="694" hidden="1"/>
    <row r="695" hidden="1"/>
    <row r="696" hidden="1"/>
    <row r="697" hidden="1"/>
    <row r="698" hidden="1"/>
    <row r="699" hidden="1"/>
    <row r="700" hidden="1"/>
    <row r="701" hidden="1"/>
    <row r="702" hidden="1"/>
    <row r="703" hidden="1"/>
    <row r="704" hidden="1"/>
    <row r="705" hidden="1"/>
    <row r="706" hidden="1"/>
    <row r="707" hidden="1"/>
    <row r="708" hidden="1"/>
    <row r="709" hidden="1"/>
    <row r="710" hidden="1"/>
    <row r="711" hidden="1"/>
    <row r="712" hidden="1"/>
    <row r="713" hidden="1"/>
    <row r="714" hidden="1"/>
    <row r="715" hidden="1"/>
    <row r="716" hidden="1"/>
    <row r="717" hidden="1"/>
    <row r="718" hidden="1"/>
    <row r="719" hidden="1"/>
    <row r="720" hidden="1"/>
    <row r="721" hidden="1"/>
    <row r="722" hidden="1"/>
    <row r="723" hidden="1"/>
    <row r="724" hidden="1"/>
    <row r="725" hidden="1"/>
    <row r="726" hidden="1"/>
    <row r="727" hidden="1"/>
    <row r="728" hidden="1"/>
    <row r="729" hidden="1"/>
    <row r="730" hidden="1"/>
    <row r="731" hidden="1"/>
    <row r="732" hidden="1"/>
    <row r="733" hidden="1"/>
    <row r="734" hidden="1"/>
    <row r="735" hidden="1"/>
    <row r="736" hidden="1"/>
    <row r="737" hidden="1"/>
    <row r="738" hidden="1"/>
    <row r="739" hidden="1"/>
    <row r="740" hidden="1"/>
    <row r="741" hidden="1"/>
    <row r="742" hidden="1"/>
    <row r="743" hidden="1"/>
    <row r="744" hidden="1"/>
    <row r="745" hidden="1"/>
    <row r="746" hidden="1"/>
    <row r="747" hidden="1"/>
    <row r="748" hidden="1"/>
    <row r="749" hidden="1"/>
    <row r="750" hidden="1"/>
    <row r="751" hidden="1"/>
    <row r="752" hidden="1"/>
    <row r="753" hidden="1"/>
    <row r="754" hidden="1"/>
    <row r="755" hidden="1"/>
    <row r="756" hidden="1"/>
    <row r="757" hidden="1"/>
    <row r="758" hidden="1"/>
    <row r="759" hidden="1"/>
    <row r="760" hidden="1"/>
    <row r="761" hidden="1"/>
    <row r="762" hidden="1"/>
    <row r="763" hidden="1"/>
    <row r="764" hidden="1"/>
    <row r="765" hidden="1"/>
    <row r="766" hidden="1"/>
    <row r="767" hidden="1"/>
    <row r="768" hidden="1"/>
    <row r="769" hidden="1"/>
    <row r="770" hidden="1"/>
    <row r="771" hidden="1"/>
    <row r="772" hidden="1"/>
    <row r="773" hidden="1"/>
    <row r="774" hidden="1"/>
    <row r="775" hidden="1"/>
    <row r="776" hidden="1"/>
    <row r="777" hidden="1"/>
    <row r="778" hidden="1"/>
    <row r="779" hidden="1"/>
    <row r="780" hidden="1"/>
    <row r="781" hidden="1"/>
    <row r="782" hidden="1"/>
    <row r="783" hidden="1"/>
    <row r="784" hidden="1"/>
    <row r="785" hidden="1"/>
    <row r="786" hidden="1"/>
    <row r="787" hidden="1"/>
    <row r="788" hidden="1"/>
    <row r="789" hidden="1"/>
    <row r="790" hidden="1"/>
    <row r="791" hidden="1"/>
    <row r="792" hidden="1"/>
    <row r="793" hidden="1"/>
    <row r="794" hidden="1"/>
    <row r="795" hidden="1"/>
    <row r="796" hidden="1"/>
    <row r="797" hidden="1"/>
    <row r="798" hidden="1"/>
    <row r="799" hidden="1"/>
    <row r="800" hidden="1"/>
    <row r="801" hidden="1"/>
    <row r="802" hidden="1"/>
    <row r="803" hidden="1"/>
    <row r="804" hidden="1"/>
    <row r="805" hidden="1"/>
    <row r="806" hidden="1"/>
    <row r="807" hidden="1"/>
    <row r="808" hidden="1"/>
    <row r="809" hidden="1"/>
    <row r="810" hidden="1"/>
    <row r="811" hidden="1"/>
    <row r="812" hidden="1"/>
    <row r="813" hidden="1"/>
    <row r="814" hidden="1"/>
    <row r="815" hidden="1"/>
    <row r="816" hidden="1"/>
    <row r="817" hidden="1"/>
    <row r="818" hidden="1"/>
    <row r="819" hidden="1"/>
    <row r="820" hidden="1"/>
    <row r="821" hidden="1"/>
    <row r="822" hidden="1"/>
    <row r="823" hidden="1"/>
    <row r="824" hidden="1"/>
    <row r="825" hidden="1"/>
    <row r="826" hidden="1"/>
    <row r="827" hidden="1"/>
    <row r="828" hidden="1"/>
    <row r="829" hidden="1"/>
    <row r="830" hidden="1"/>
    <row r="831" hidden="1"/>
    <row r="832" hidden="1"/>
    <row r="833" hidden="1"/>
    <row r="834" hidden="1"/>
    <row r="835" hidden="1"/>
    <row r="836" hidden="1"/>
    <row r="837" hidden="1"/>
    <row r="838" hidden="1"/>
    <row r="839" hidden="1"/>
    <row r="840" hidden="1"/>
    <row r="841" hidden="1"/>
    <row r="842" hidden="1"/>
    <row r="843" hidden="1"/>
    <row r="844" hidden="1"/>
    <row r="845" hidden="1"/>
    <row r="846" hidden="1"/>
    <row r="847" hidden="1"/>
    <row r="848" hidden="1"/>
    <row r="849" hidden="1"/>
    <row r="850" hidden="1"/>
    <row r="851" hidden="1"/>
    <row r="852" hidden="1"/>
    <row r="853" hidden="1"/>
    <row r="854" hidden="1"/>
    <row r="855" hidden="1"/>
    <row r="856" hidden="1"/>
    <row r="857" hidden="1"/>
    <row r="858" hidden="1"/>
    <row r="859" hidden="1"/>
    <row r="860" hidden="1"/>
    <row r="861" hidden="1"/>
    <row r="862" hidden="1"/>
    <row r="863" hidden="1"/>
    <row r="864" hidden="1"/>
    <row r="865" hidden="1"/>
    <row r="866" hidden="1"/>
    <row r="867" hidden="1"/>
    <row r="868" hidden="1"/>
    <row r="869" hidden="1"/>
    <row r="870" hidden="1"/>
    <row r="871" hidden="1"/>
    <row r="872" hidden="1"/>
    <row r="873" hidden="1"/>
    <row r="874" hidden="1"/>
    <row r="875" hidden="1"/>
    <row r="876" hidden="1"/>
    <row r="877" hidden="1"/>
    <row r="878" hidden="1"/>
    <row r="879" hidden="1"/>
    <row r="880" hidden="1"/>
    <row r="881" hidden="1"/>
    <row r="882" hidden="1"/>
    <row r="883" hidden="1"/>
    <row r="884" hidden="1"/>
    <row r="885" hidden="1"/>
    <row r="886" hidden="1"/>
    <row r="887" hidden="1"/>
    <row r="888" hidden="1"/>
    <row r="889" hidden="1"/>
    <row r="890" hidden="1"/>
    <row r="891" hidden="1"/>
    <row r="892" hidden="1"/>
    <row r="893" hidden="1"/>
    <row r="894" hidden="1"/>
    <row r="895" hidden="1"/>
    <row r="896" hidden="1"/>
    <row r="897" hidden="1"/>
    <row r="898" hidden="1"/>
    <row r="899" hidden="1"/>
    <row r="900" hidden="1"/>
    <row r="901" hidden="1"/>
    <row r="902" hidden="1"/>
    <row r="903" hidden="1"/>
    <row r="904" hidden="1"/>
    <row r="905" hidden="1"/>
    <row r="906" hidden="1"/>
    <row r="907" hidden="1"/>
    <row r="908" hidden="1"/>
    <row r="909" hidden="1"/>
    <row r="910" hidden="1"/>
    <row r="911" hidden="1"/>
    <row r="912" hidden="1"/>
    <row r="913" hidden="1"/>
    <row r="914" hidden="1"/>
    <row r="915" hidden="1"/>
    <row r="916" hidden="1"/>
    <row r="917" hidden="1"/>
    <row r="918" hidden="1"/>
    <row r="919" hidden="1"/>
    <row r="920" hidden="1"/>
    <row r="921" hidden="1"/>
    <row r="922" hidden="1"/>
    <row r="923" hidden="1"/>
    <row r="924" hidden="1"/>
    <row r="925" hidden="1"/>
    <row r="926" hidden="1"/>
    <row r="927" hidden="1"/>
    <row r="928" hidden="1"/>
    <row r="929" hidden="1"/>
    <row r="930" hidden="1"/>
    <row r="931" hidden="1"/>
    <row r="932" hidden="1"/>
    <row r="933" hidden="1"/>
    <row r="934" hidden="1"/>
    <row r="935" hidden="1"/>
    <row r="936" hidden="1"/>
    <row r="937" hidden="1"/>
    <row r="938" hidden="1"/>
    <row r="939" hidden="1"/>
    <row r="940" hidden="1"/>
    <row r="941" hidden="1"/>
    <row r="942" hidden="1"/>
    <row r="943" hidden="1"/>
    <row r="944" hidden="1"/>
    <row r="945" hidden="1"/>
    <row r="946" hidden="1"/>
    <row r="947" hidden="1"/>
    <row r="948" hidden="1"/>
    <row r="949" hidden="1"/>
    <row r="950" hidden="1"/>
    <row r="951" hidden="1"/>
    <row r="952" hidden="1"/>
    <row r="953" hidden="1"/>
    <row r="954" hidden="1"/>
    <row r="955" hidden="1"/>
    <row r="956" hidden="1"/>
    <row r="957" hidden="1"/>
    <row r="958" hidden="1"/>
    <row r="959" hidden="1"/>
    <row r="960" hidden="1"/>
    <row r="961" hidden="1"/>
    <row r="962" hidden="1"/>
    <row r="963" hidden="1"/>
    <row r="964" hidden="1"/>
    <row r="965" hidden="1"/>
    <row r="966" hidden="1"/>
    <row r="967" hidden="1"/>
    <row r="968" hidden="1"/>
    <row r="969" hidden="1"/>
    <row r="970" hidden="1"/>
    <row r="971" hidden="1"/>
    <row r="972" hidden="1"/>
    <row r="973" hidden="1"/>
    <row r="974" hidden="1"/>
    <row r="975" hidden="1"/>
    <row r="976" hidden="1"/>
    <row r="977" hidden="1"/>
    <row r="978" hidden="1"/>
    <row r="979" hidden="1"/>
    <row r="980" hidden="1"/>
    <row r="981" hidden="1"/>
    <row r="982" hidden="1"/>
    <row r="983" hidden="1"/>
    <row r="984" hidden="1"/>
    <row r="985" hidden="1"/>
    <row r="986" hidden="1"/>
    <row r="987" hidden="1"/>
    <row r="988" hidden="1"/>
    <row r="989" hidden="1"/>
    <row r="990" hidden="1"/>
    <row r="991" hidden="1"/>
    <row r="992" hidden="1"/>
    <row r="993" hidden="1"/>
    <row r="994" hidden="1"/>
    <row r="995" hidden="1"/>
    <row r="996" hidden="1"/>
    <row r="997" hidden="1"/>
    <row r="998" hidden="1"/>
    <row r="999" hidden="1"/>
    <row r="1000" hidden="1"/>
    <row r="1001" hidden="1"/>
    <row r="1002" hidden="1"/>
    <row r="1003" hidden="1"/>
    <row r="1004" hidden="1"/>
    <row r="1005" hidden="1"/>
    <row r="1006" hidden="1"/>
    <row r="1007" hidden="1"/>
    <row r="1008" hidden="1"/>
    <row r="1009" hidden="1"/>
    <row r="1010" hidden="1"/>
    <row r="1011" hidden="1"/>
    <row r="1012" hidden="1"/>
    <row r="1013" hidden="1"/>
    <row r="1014" hidden="1"/>
    <row r="1015" hidden="1"/>
    <row r="1016" hidden="1"/>
    <row r="1017" hidden="1"/>
    <row r="1018" hidden="1"/>
    <row r="1019" hidden="1"/>
    <row r="1020" hidden="1"/>
    <row r="1021" hidden="1"/>
    <row r="1022" hidden="1"/>
    <row r="1023" hidden="1"/>
    <row r="1024" hidden="1"/>
    <row r="1025" hidden="1"/>
    <row r="1026" hidden="1"/>
    <row r="1027" hidden="1"/>
    <row r="1028" hidden="1"/>
    <row r="1029" hidden="1"/>
    <row r="1030" hidden="1"/>
    <row r="1031" hidden="1"/>
    <row r="1032" hidden="1"/>
    <row r="1033" hidden="1"/>
    <row r="1034" hidden="1"/>
    <row r="1035" hidden="1"/>
    <row r="1036" hidden="1"/>
    <row r="1037" hidden="1"/>
    <row r="1038" hidden="1"/>
    <row r="1039" hidden="1"/>
    <row r="1040" hidden="1"/>
    <row r="1041" hidden="1"/>
    <row r="1042" hidden="1"/>
    <row r="1043" hidden="1"/>
    <row r="1044" hidden="1"/>
    <row r="1045" hidden="1"/>
    <row r="1046" hidden="1"/>
  </sheetData>
  <sheetProtection password="E8FA" sheet="1" objects="1" scenarios="1" formatCells="0" formatColumns="0" formatRows="0" selectLockedCells="1"/>
  <mergeCells count="39">
    <mergeCell ref="B32:O32"/>
    <mergeCell ref="P32:AC32"/>
    <mergeCell ref="B31:E31"/>
    <mergeCell ref="C2:T2"/>
    <mergeCell ref="P5:R5"/>
    <mergeCell ref="T5:Z5"/>
    <mergeCell ref="AA5:AC5"/>
    <mergeCell ref="B4:AC4"/>
    <mergeCell ref="U2:AA2"/>
    <mergeCell ref="AB2:AC2"/>
    <mergeCell ref="B28:C28"/>
    <mergeCell ref="B29:C29"/>
    <mergeCell ref="B30:C30"/>
    <mergeCell ref="J5:O5"/>
    <mergeCell ref="B26:C26"/>
    <mergeCell ref="B27:C27"/>
    <mergeCell ref="B1:AC1"/>
    <mergeCell ref="J3:O3"/>
    <mergeCell ref="P3:R3"/>
    <mergeCell ref="T3:Z3"/>
    <mergeCell ref="AA3:AC3"/>
    <mergeCell ref="F3:I3"/>
    <mergeCell ref="B3:E3"/>
    <mergeCell ref="F5:I5"/>
    <mergeCell ref="B5:E5"/>
    <mergeCell ref="AD1:AD32"/>
    <mergeCell ref="B6:AC6"/>
    <mergeCell ref="AC7:AC8"/>
    <mergeCell ref="P7:AB7"/>
    <mergeCell ref="B21:C21"/>
    <mergeCell ref="B22:C22"/>
    <mergeCell ref="B7:B8"/>
    <mergeCell ref="C7:C8"/>
    <mergeCell ref="D7:D8"/>
    <mergeCell ref="E7:E8"/>
    <mergeCell ref="F7:O7"/>
    <mergeCell ref="B23:C23"/>
    <mergeCell ref="B24:C24"/>
    <mergeCell ref="B25:C25"/>
  </mergeCells>
  <conditionalFormatting sqref="AE9:AE30 B9:AC30">
    <cfRule type="cellIs" dxfId="23" priority="1" operator="equal">
      <formula>0</formula>
    </cfRule>
  </conditionalFormatting>
  <pageMargins left="0.23622047244094491" right="0.2" top="0.23622047244094491" bottom="0.24" header="0.19685039370078741" footer="0.19685039370078741"/>
  <pageSetup paperSize="9" scale="70" orientation="landscape" r:id="rId1"/>
  <colBreaks count="1" manualBreakCount="1">
    <brk id="31" max="1048575" man="1"/>
  </colBreaks>
</worksheet>
</file>

<file path=xl/worksheets/sheet5.xml><?xml version="1.0" encoding="utf-8"?>
<worksheet xmlns="http://schemas.openxmlformats.org/spreadsheetml/2006/main" xmlns:r="http://schemas.openxmlformats.org/officeDocument/2006/relationships">
  <sheetPr>
    <tabColor theme="8"/>
  </sheetPr>
  <dimension ref="A1:XFD75"/>
  <sheetViews>
    <sheetView showGridLines="0" workbookViewId="0">
      <selection activeCell="Q37" sqref="Q37:Q38"/>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6" style="18" customWidth="1"/>
    <col min="17" max="17" width="26.140625" style="18" customWidth="1"/>
    <col min="18" max="18" width="1.7109375" style="18" customWidth="1"/>
    <col min="19" max="19" width="1.7109375" style="18" hidden="1" customWidth="1"/>
    <col min="20" max="20" width="24.140625" style="1" customWidth="1"/>
    <col min="21" max="21" width="24.140625" style="105" customWidth="1"/>
    <col min="22" max="22" width="2.28515625" style="106" customWidth="1"/>
    <col min="23" max="23" width="3.7109375" style="1" hidden="1"/>
    <col min="24" max="26" width="14.7109375" style="106" hidden="1"/>
    <col min="27" max="28" width="9" style="106" hidden="1"/>
    <col min="29" max="29" width="8" style="106" hidden="1"/>
    <col min="30" max="30" width="9.7109375" style="106" hidden="1"/>
    <col min="31" max="31" width="10.85546875" style="1" hidden="1"/>
    <col min="32" max="32" width="1.5703125" style="1" hidden="1"/>
    <col min="33" max="33" width="1.140625" style="1" hidden="1"/>
    <col min="34" max="34" width="21.140625" style="1" hidden="1"/>
    <col min="35" max="35" width="12.7109375" style="1" hidden="1"/>
    <col min="36" max="37" width="14.7109375" style="1" hidden="1"/>
    <col min="38" max="16383" width="7.42578125" style="1" hidden="1"/>
    <col min="16384" max="16384" width="1.85546875" style="1" hidden="1"/>
  </cols>
  <sheetData>
    <row r="1" spans="1:30" ht="28.5" thickBot="1">
      <c r="A1" s="596"/>
      <c r="B1" s="597" t="str">
        <f>'Exemp.(HRA+Other) &amp; Other incom'!A1</f>
        <v>Office: Govt. Sr. School Raimalwada (DDO Code :-12345)</v>
      </c>
      <c r="C1" s="598"/>
      <c r="D1" s="598"/>
      <c r="E1" s="598"/>
      <c r="F1" s="598"/>
      <c r="G1" s="598"/>
      <c r="H1" s="598"/>
      <c r="I1" s="598"/>
      <c r="J1" s="598"/>
      <c r="K1" s="598"/>
      <c r="L1" s="598"/>
      <c r="M1" s="598"/>
      <c r="N1" s="598"/>
      <c r="O1" s="598"/>
      <c r="P1" s="598"/>
      <c r="Q1" s="599"/>
      <c r="R1" s="580"/>
      <c r="S1" s="211"/>
      <c r="T1" s="493"/>
      <c r="U1" s="493"/>
      <c r="V1" s="493"/>
      <c r="W1" s="252"/>
      <c r="X1" s="252"/>
      <c r="Y1" s="252"/>
      <c r="Z1" s="252"/>
    </row>
    <row r="2" spans="1:30" ht="21" customHeight="1" thickBot="1">
      <c r="A2" s="596"/>
      <c r="B2" s="487" t="str">
        <f>CONCATENATE("Income Tax Calculation F.Y.",":-", 'Basic Deta'!Q6)</f>
        <v>Income Tax Calculation F.Y.:-2023-24</v>
      </c>
      <c r="C2" s="488"/>
      <c r="D2" s="488"/>
      <c r="E2" s="488"/>
      <c r="F2" s="488"/>
      <c r="G2" s="488"/>
      <c r="H2" s="488"/>
      <c r="I2" s="488"/>
      <c r="J2" s="488"/>
      <c r="K2" s="489" t="s">
        <v>284</v>
      </c>
      <c r="L2" s="489"/>
      <c r="M2" s="490"/>
      <c r="N2" s="581" t="s">
        <v>219</v>
      </c>
      <c r="O2" s="582"/>
      <c r="P2" s="582"/>
      <c r="Q2" s="583"/>
      <c r="R2" s="580"/>
      <c r="S2" s="211"/>
      <c r="T2" s="502" t="s">
        <v>228</v>
      </c>
      <c r="U2" s="503"/>
      <c r="V2" s="493"/>
      <c r="W2" s="252"/>
      <c r="X2" s="252"/>
      <c r="Y2" s="252"/>
      <c r="Z2" s="252"/>
    </row>
    <row r="3" spans="1:30" s="92" customFormat="1" ht="16.5" customHeight="1" thickBot="1">
      <c r="A3" s="596"/>
      <c r="B3" s="86">
        <v>1</v>
      </c>
      <c r="C3" s="584" t="s">
        <v>144</v>
      </c>
      <c r="D3" s="584"/>
      <c r="E3" s="585">
        <f>'GA-55'!F3</f>
        <v>0</v>
      </c>
      <c r="F3" s="585"/>
      <c r="G3" s="585"/>
      <c r="H3" s="585"/>
      <c r="I3" s="585"/>
      <c r="J3" s="585"/>
      <c r="K3" s="87" t="s">
        <v>145</v>
      </c>
      <c r="L3" s="586">
        <f>'GA-55'!P3</f>
        <v>0</v>
      </c>
      <c r="M3" s="586"/>
      <c r="N3" s="586"/>
      <c r="O3" s="88" t="s">
        <v>75</v>
      </c>
      <c r="P3" s="587">
        <f>'GA-55'!F5</f>
        <v>0</v>
      </c>
      <c r="Q3" s="588"/>
      <c r="R3" s="580"/>
      <c r="S3" s="211"/>
      <c r="T3" s="504"/>
      <c r="U3" s="505"/>
      <c r="V3" s="493"/>
      <c r="W3" s="252"/>
      <c r="X3" s="252"/>
      <c r="Y3" s="252"/>
      <c r="Z3" s="252"/>
      <c r="AA3" s="91"/>
      <c r="AB3" s="91"/>
      <c r="AC3" s="91"/>
      <c r="AD3" s="91"/>
    </row>
    <row r="4" spans="1:30" ht="14.25" customHeight="1">
      <c r="A4" s="596"/>
      <c r="B4" s="98">
        <v>2</v>
      </c>
      <c r="C4" s="589" t="s">
        <v>147</v>
      </c>
      <c r="D4" s="589"/>
      <c r="E4" s="589"/>
      <c r="F4" s="589"/>
      <c r="G4" s="589"/>
      <c r="H4" s="589"/>
      <c r="I4" s="589"/>
      <c r="J4" s="589"/>
      <c r="K4" s="589"/>
      <c r="L4" s="589"/>
      <c r="M4" s="589"/>
      <c r="N4" s="589"/>
      <c r="O4" s="589"/>
      <c r="P4" s="61" t="s">
        <v>114</v>
      </c>
      <c r="Q4" s="85">
        <f>'GA-55'!O31</f>
        <v>752717</v>
      </c>
      <c r="R4" s="580"/>
      <c r="S4" s="211"/>
      <c r="T4" s="504"/>
      <c r="U4" s="505"/>
      <c r="V4" s="493"/>
      <c r="W4" s="252"/>
      <c r="X4" s="252"/>
      <c r="Y4" s="252"/>
      <c r="Z4" s="252"/>
    </row>
    <row r="5" spans="1:30" ht="14.25" customHeight="1">
      <c r="A5" s="596"/>
      <c r="B5" s="642">
        <v>3</v>
      </c>
      <c r="C5" s="643" t="s">
        <v>154</v>
      </c>
      <c r="D5" s="643"/>
      <c r="E5" s="643"/>
      <c r="F5" s="643"/>
      <c r="G5" s="643"/>
      <c r="H5" s="643"/>
      <c r="I5" s="643"/>
      <c r="J5" s="643"/>
      <c r="K5" s="643"/>
      <c r="L5" s="643"/>
      <c r="M5" s="643"/>
      <c r="N5" s="643"/>
      <c r="O5" s="643"/>
      <c r="P5" s="644" t="s">
        <v>114</v>
      </c>
      <c r="Q5" s="645">
        <f>IF(N2="old tax regime",'Exemp.(HRA+Other) &amp; Other incom'!K4,0)</f>
        <v>0</v>
      </c>
      <c r="R5" s="580"/>
      <c r="S5" s="211"/>
      <c r="T5" s="504"/>
      <c r="U5" s="505"/>
      <c r="V5" s="493"/>
      <c r="W5" s="252"/>
      <c r="X5" s="252"/>
      <c r="Y5" s="252"/>
      <c r="Z5" s="252"/>
    </row>
    <row r="6" spans="1:30" ht="14.25" customHeight="1">
      <c r="A6" s="596"/>
      <c r="B6" s="99">
        <v>4</v>
      </c>
      <c r="C6" s="590" t="s">
        <v>148</v>
      </c>
      <c r="D6" s="590"/>
      <c r="E6" s="590"/>
      <c r="F6" s="590"/>
      <c r="G6" s="590"/>
      <c r="H6" s="590"/>
      <c r="I6" s="590"/>
      <c r="J6" s="590"/>
      <c r="K6" s="590"/>
      <c r="L6" s="590"/>
      <c r="M6" s="590"/>
      <c r="N6" s="590"/>
      <c r="O6" s="590"/>
      <c r="P6" s="53" t="s">
        <v>114</v>
      </c>
      <c r="Q6" s="78">
        <f>Q4-Q5</f>
        <v>752717</v>
      </c>
      <c r="R6" s="580"/>
      <c r="S6" s="211"/>
      <c r="T6" s="504"/>
      <c r="U6" s="505"/>
      <c r="V6" s="493"/>
      <c r="W6" s="252"/>
      <c r="X6" s="252"/>
      <c r="Y6" s="252"/>
      <c r="Z6" s="252"/>
    </row>
    <row r="7" spans="1:30" ht="14.25" customHeight="1" thickBot="1">
      <c r="A7" s="596"/>
      <c r="B7" s="543">
        <v>5</v>
      </c>
      <c r="C7" s="643" t="s">
        <v>150</v>
      </c>
      <c r="D7" s="643"/>
      <c r="E7" s="643"/>
      <c r="F7" s="643"/>
      <c r="G7" s="643"/>
      <c r="H7" s="643"/>
      <c r="I7" s="643"/>
      <c r="J7" s="643"/>
      <c r="K7" s="643"/>
      <c r="L7" s="643"/>
      <c r="M7" s="646">
        <f>'Exemp.(HRA+Other) &amp; Other incom'!L13</f>
        <v>0</v>
      </c>
      <c r="N7" s="646"/>
      <c r="O7" s="646"/>
      <c r="P7" s="592"/>
      <c r="Q7" s="593"/>
      <c r="R7" s="580"/>
      <c r="S7" s="211"/>
      <c r="T7" s="506"/>
      <c r="U7" s="507"/>
      <c r="V7" s="493"/>
      <c r="W7" s="252"/>
      <c r="X7" s="252"/>
      <c r="Y7" s="252"/>
      <c r="Z7" s="252"/>
    </row>
    <row r="8" spans="1:30" ht="14.25" customHeight="1">
      <c r="A8" s="596"/>
      <c r="B8" s="543"/>
      <c r="C8" s="643" t="s">
        <v>151</v>
      </c>
      <c r="D8" s="643"/>
      <c r="E8" s="643"/>
      <c r="F8" s="643"/>
      <c r="G8" s="643"/>
      <c r="H8" s="643"/>
      <c r="I8" s="643"/>
      <c r="J8" s="643"/>
      <c r="K8" s="643"/>
      <c r="L8" s="643"/>
      <c r="M8" s="646">
        <f>'Exemp.(HRA+Other) &amp; Other incom'!L14</f>
        <v>0</v>
      </c>
      <c r="N8" s="646"/>
      <c r="O8" s="646"/>
      <c r="P8" s="592"/>
      <c r="Q8" s="593"/>
      <c r="R8" s="580"/>
      <c r="S8" s="515" t="str">
        <f>IF(U8&gt;U12,"n","y")</f>
        <v>n</v>
      </c>
      <c r="T8" s="508" t="s">
        <v>229</v>
      </c>
      <c r="U8" s="511">
        <f>'Old Regime Calc. Report'!Q66</f>
        <v>23810</v>
      </c>
      <c r="V8" s="493"/>
      <c r="W8" s="253"/>
      <c r="X8" s="501"/>
      <c r="Y8" s="501"/>
      <c r="Z8" s="501"/>
    </row>
    <row r="9" spans="1:30" ht="14.25" customHeight="1">
      <c r="A9" s="596"/>
      <c r="B9" s="543"/>
      <c r="C9" s="539" t="s">
        <v>152</v>
      </c>
      <c r="D9" s="539"/>
      <c r="E9" s="539"/>
      <c r="F9" s="539"/>
      <c r="G9" s="539"/>
      <c r="H9" s="539"/>
      <c r="I9" s="539"/>
      <c r="J9" s="539"/>
      <c r="K9" s="539"/>
      <c r="L9" s="539"/>
      <c r="M9" s="591">
        <v>50000</v>
      </c>
      <c r="N9" s="591"/>
      <c r="O9" s="591"/>
      <c r="P9" s="53" t="s">
        <v>114</v>
      </c>
      <c r="Q9" s="73">
        <f>M7+M8+M9</f>
        <v>50000</v>
      </c>
      <c r="R9" s="580"/>
      <c r="S9" s="516"/>
      <c r="T9" s="509"/>
      <c r="U9" s="512"/>
      <c r="V9" s="493"/>
      <c r="W9" s="253"/>
      <c r="X9" s="501"/>
      <c r="Y9" s="501"/>
      <c r="Z9" s="501"/>
    </row>
    <row r="10" spans="1:30" ht="14.25" customHeight="1">
      <c r="A10" s="596"/>
      <c r="B10" s="99">
        <v>6</v>
      </c>
      <c r="C10" s="590" t="s">
        <v>153</v>
      </c>
      <c r="D10" s="590"/>
      <c r="E10" s="590"/>
      <c r="F10" s="590"/>
      <c r="G10" s="590"/>
      <c r="H10" s="590"/>
      <c r="I10" s="590"/>
      <c r="J10" s="590"/>
      <c r="K10" s="590"/>
      <c r="L10" s="590"/>
      <c r="M10" s="590"/>
      <c r="N10" s="590"/>
      <c r="O10" s="590"/>
      <c r="P10" s="53" t="s">
        <v>114</v>
      </c>
      <c r="Q10" s="78">
        <f>Q6-Q9</f>
        <v>702717</v>
      </c>
      <c r="R10" s="580"/>
      <c r="S10" s="516"/>
      <c r="T10" s="509"/>
      <c r="U10" s="512"/>
      <c r="V10" s="493"/>
      <c r="W10" s="253"/>
      <c r="X10" s="501"/>
      <c r="Y10" s="501"/>
      <c r="Z10" s="501"/>
    </row>
    <row r="11" spans="1:30" ht="14.25" customHeight="1">
      <c r="A11" s="596"/>
      <c r="B11" s="543">
        <v>7</v>
      </c>
      <c r="C11" s="639" t="s">
        <v>155</v>
      </c>
      <c r="D11" s="639"/>
      <c r="E11" s="639"/>
      <c r="F11" s="639"/>
      <c r="G11" s="639"/>
      <c r="H11" s="639"/>
      <c r="I11" s="639"/>
      <c r="J11" s="639"/>
      <c r="K11" s="698" t="s">
        <v>156</v>
      </c>
      <c r="L11" s="698"/>
      <c r="M11" s="697">
        <f>'Exemp.(HRA+Other) &amp; Other incom'!L7</f>
        <v>0</v>
      </c>
      <c r="N11" s="697"/>
      <c r="O11" s="697"/>
      <c r="P11" s="647"/>
      <c r="Q11" s="648"/>
      <c r="R11" s="580"/>
      <c r="S11" s="256"/>
      <c r="T11" s="257"/>
      <c r="U11" s="258"/>
      <c r="V11" s="493"/>
      <c r="W11" s="254"/>
      <c r="X11" s="254"/>
      <c r="Y11" s="254"/>
      <c r="Z11" s="254"/>
    </row>
    <row r="12" spans="1:30" ht="14.25" customHeight="1">
      <c r="A12" s="596"/>
      <c r="B12" s="543"/>
      <c r="C12" s="699" t="s">
        <v>157</v>
      </c>
      <c r="D12" s="699"/>
      <c r="E12" s="698" t="s">
        <v>158</v>
      </c>
      <c r="F12" s="698"/>
      <c r="G12" s="698"/>
      <c r="H12" s="700" t="s">
        <v>159</v>
      </c>
      <c r="I12" s="700"/>
      <c r="J12" s="700"/>
      <c r="K12" s="698" t="s">
        <v>115</v>
      </c>
      <c r="L12" s="698"/>
      <c r="M12" s="701" t="s">
        <v>160</v>
      </c>
      <c r="N12" s="701"/>
      <c r="O12" s="701"/>
      <c r="P12" s="647"/>
      <c r="Q12" s="648"/>
      <c r="R12" s="580"/>
      <c r="S12" s="515" t="str">
        <f>IF(U12&gt;U8,"n","y")</f>
        <v>y</v>
      </c>
      <c r="T12" s="509" t="s">
        <v>230</v>
      </c>
      <c r="U12" s="513">
        <f>Q69</f>
        <v>2830</v>
      </c>
      <c r="V12" s="493"/>
      <c r="W12" s="253"/>
      <c r="X12" s="501"/>
      <c r="Y12" s="501"/>
      <c r="Z12" s="501"/>
    </row>
    <row r="13" spans="1:30" ht="14.25" customHeight="1">
      <c r="A13" s="596"/>
      <c r="B13" s="543"/>
      <c r="C13" s="699"/>
      <c r="D13" s="699"/>
      <c r="E13" s="697">
        <f>ROUND(M11*0.3,0)</f>
        <v>0</v>
      </c>
      <c r="F13" s="697"/>
      <c r="G13" s="697"/>
      <c r="H13" s="697">
        <f>IF(N2="old tax regime",'Exemp.(HRA+Other) &amp; Other incom'!L17,0)</f>
        <v>0</v>
      </c>
      <c r="I13" s="697"/>
      <c r="J13" s="697"/>
      <c r="K13" s="697">
        <f>IF(N2="old tax regime",'Exemp.(HRA+Other) &amp; Other incom'!L15,0)</f>
        <v>0</v>
      </c>
      <c r="L13" s="697"/>
      <c r="M13" s="702">
        <f>E13+H13+K13</f>
        <v>0</v>
      </c>
      <c r="N13" s="702"/>
      <c r="O13" s="702"/>
      <c r="P13" s="647"/>
      <c r="Q13" s="648"/>
      <c r="R13" s="580"/>
      <c r="S13" s="516"/>
      <c r="T13" s="509"/>
      <c r="U13" s="512"/>
      <c r="V13" s="493"/>
      <c r="W13" s="253"/>
      <c r="X13" s="501"/>
      <c r="Y13" s="501"/>
      <c r="Z13" s="501"/>
    </row>
    <row r="14" spans="1:30" ht="15.75" customHeight="1" thickBot="1">
      <c r="A14" s="596"/>
      <c r="B14" s="99"/>
      <c r="C14" s="650" t="s">
        <v>162</v>
      </c>
      <c r="D14" s="651"/>
      <c r="E14" s="651"/>
      <c r="F14" s="651"/>
      <c r="G14" s="651"/>
      <c r="H14" s="651"/>
      <c r="I14" s="651"/>
      <c r="J14" s="651"/>
      <c r="K14" s="651"/>
      <c r="L14" s="651"/>
      <c r="M14" s="651"/>
      <c r="N14" s="651"/>
      <c r="O14" s="652"/>
      <c r="P14" s="644" t="s">
        <v>114</v>
      </c>
      <c r="Q14" s="645">
        <f>M11-M13</f>
        <v>0</v>
      </c>
      <c r="R14" s="580"/>
      <c r="S14" s="516"/>
      <c r="T14" s="510"/>
      <c r="U14" s="514"/>
      <c r="V14" s="493"/>
      <c r="W14" s="253"/>
      <c r="X14" s="501"/>
      <c r="Y14" s="501"/>
      <c r="Z14" s="501"/>
    </row>
    <row r="15" spans="1:30" ht="22.5" customHeight="1" thickBot="1">
      <c r="A15" s="596"/>
      <c r="B15" s="99">
        <v>8</v>
      </c>
      <c r="C15" s="653" t="s">
        <v>161</v>
      </c>
      <c r="D15" s="654"/>
      <c r="E15" s="654"/>
      <c r="F15" s="654"/>
      <c r="G15" s="654"/>
      <c r="H15" s="654"/>
      <c r="I15" s="654"/>
      <c r="J15" s="654"/>
      <c r="K15" s="654"/>
      <c r="L15" s="654"/>
      <c r="M15" s="654"/>
      <c r="N15" s="654"/>
      <c r="O15" s="655"/>
      <c r="P15" s="644" t="s">
        <v>114</v>
      </c>
      <c r="Q15" s="656">
        <f>Q10+Q14</f>
        <v>702717</v>
      </c>
      <c r="R15" s="580"/>
      <c r="S15" s="211"/>
      <c r="T15" s="517"/>
      <c r="U15" s="518"/>
      <c r="V15" s="493"/>
      <c r="W15" s="255"/>
      <c r="X15" s="255"/>
      <c r="Y15" s="255"/>
      <c r="Z15" s="255"/>
    </row>
    <row r="16" spans="1:30" ht="20.25" customHeight="1">
      <c r="A16" s="596"/>
      <c r="B16" s="523">
        <v>9</v>
      </c>
      <c r="C16" s="657" t="s">
        <v>142</v>
      </c>
      <c r="D16" s="658" t="s">
        <v>105</v>
      </c>
      <c r="E16" s="659" t="str">
        <f>'Exemp.(HRA+Other) &amp; Other incom'!B8</f>
        <v>अन्य आय (बैंक/एफडी में जमा ब्याज/अन्य ब्याज आदि का योग</v>
      </c>
      <c r="F16" s="643"/>
      <c r="G16" s="643"/>
      <c r="H16" s="643"/>
      <c r="I16" s="643"/>
      <c r="J16" s="643"/>
      <c r="K16" s="643"/>
      <c r="L16" s="643"/>
      <c r="M16" s="643"/>
      <c r="N16" s="643"/>
      <c r="O16" s="643"/>
      <c r="P16" s="644" t="s">
        <v>114</v>
      </c>
      <c r="Q16" s="645">
        <f>'Exemp.(HRA+Other) &amp; Other incom'!L8</f>
        <v>0</v>
      </c>
      <c r="R16" s="580"/>
      <c r="S16" s="211"/>
      <c r="T16" s="263"/>
      <c r="U16" s="263"/>
      <c r="V16" s="493"/>
    </row>
    <row r="17" spans="1:22" ht="20.25" customHeight="1">
      <c r="A17" s="596"/>
      <c r="B17" s="523"/>
      <c r="C17" s="657"/>
      <c r="D17" s="658" t="s">
        <v>106</v>
      </c>
      <c r="E17" s="659" t="str">
        <f>'Exemp.(HRA+Other) &amp; Other incom'!C9</f>
        <v>(-----------------------------------------------------)</v>
      </c>
      <c r="F17" s="643"/>
      <c r="G17" s="643"/>
      <c r="H17" s="643"/>
      <c r="I17" s="643"/>
      <c r="J17" s="643"/>
      <c r="K17" s="643"/>
      <c r="L17" s="643"/>
      <c r="M17" s="643"/>
      <c r="N17" s="643"/>
      <c r="O17" s="643"/>
      <c r="P17" s="660"/>
      <c r="Q17" s="645">
        <f>'Exemp.(HRA+Other) &amp; Other incom'!L9</f>
        <v>0</v>
      </c>
      <c r="R17" s="580"/>
      <c r="S17" s="211"/>
      <c r="T17" s="263"/>
      <c r="U17" s="263"/>
      <c r="V17" s="493"/>
    </row>
    <row r="18" spans="1:22" ht="20.25" customHeight="1">
      <c r="A18" s="596"/>
      <c r="B18" s="523"/>
      <c r="C18" s="657"/>
      <c r="D18" s="658" t="s">
        <v>107</v>
      </c>
      <c r="E18" s="659" t="str">
        <f>'Exemp.(HRA+Other) &amp; Other incom'!C10</f>
        <v>(-----------------------------------------------------)</v>
      </c>
      <c r="F18" s="643"/>
      <c r="G18" s="643"/>
      <c r="H18" s="643"/>
      <c r="I18" s="643"/>
      <c r="J18" s="643"/>
      <c r="K18" s="643"/>
      <c r="L18" s="643"/>
      <c r="M18" s="643"/>
      <c r="N18" s="643"/>
      <c r="O18" s="643"/>
      <c r="P18" s="660"/>
      <c r="Q18" s="645">
        <f>'Exemp.(HRA+Other) &amp; Other incom'!L10</f>
        <v>0</v>
      </c>
      <c r="R18" s="580"/>
      <c r="S18" s="211"/>
      <c r="T18" s="263"/>
      <c r="U18" s="263"/>
      <c r="V18" s="493"/>
    </row>
    <row r="19" spans="1:22" ht="21" customHeight="1" thickBot="1">
      <c r="A19" s="596"/>
      <c r="B19" s="100"/>
      <c r="C19" s="568" t="s">
        <v>163</v>
      </c>
      <c r="D19" s="568"/>
      <c r="E19" s="568"/>
      <c r="F19" s="568"/>
      <c r="G19" s="568"/>
      <c r="H19" s="568"/>
      <c r="I19" s="568"/>
      <c r="J19" s="568"/>
      <c r="K19" s="568"/>
      <c r="L19" s="568"/>
      <c r="M19" s="568"/>
      <c r="N19" s="568"/>
      <c r="O19" s="568"/>
      <c r="P19" s="67"/>
      <c r="Q19" s="83">
        <f>Q16+Q17+Q18</f>
        <v>0</v>
      </c>
      <c r="R19" s="580"/>
      <c r="S19" s="211"/>
      <c r="T19" s="263"/>
      <c r="U19" s="263"/>
      <c r="V19" s="493"/>
    </row>
    <row r="20" spans="1:22" ht="21" customHeight="1" thickBot="1">
      <c r="A20" s="596"/>
      <c r="B20" s="63">
        <v>10</v>
      </c>
      <c r="C20" s="569" t="s">
        <v>164</v>
      </c>
      <c r="D20" s="569"/>
      <c r="E20" s="569"/>
      <c r="F20" s="569"/>
      <c r="G20" s="569"/>
      <c r="H20" s="569"/>
      <c r="I20" s="569"/>
      <c r="J20" s="569"/>
      <c r="K20" s="569"/>
      <c r="L20" s="569"/>
      <c r="M20" s="569"/>
      <c r="N20" s="569"/>
      <c r="O20" s="569"/>
      <c r="P20" s="60" t="s">
        <v>114</v>
      </c>
      <c r="Q20" s="84">
        <f>Q15+Q19</f>
        <v>702717</v>
      </c>
      <c r="R20" s="580"/>
      <c r="S20" s="211"/>
      <c r="T20" s="263"/>
      <c r="U20" s="263"/>
      <c r="V20" s="493"/>
    </row>
    <row r="21" spans="1:22" ht="20.25" customHeight="1">
      <c r="A21" s="596"/>
      <c r="B21" s="542">
        <v>11</v>
      </c>
      <c r="C21" s="681" t="s">
        <v>165</v>
      </c>
      <c r="D21" s="681"/>
      <c r="E21" s="681"/>
      <c r="F21" s="681"/>
      <c r="G21" s="681"/>
      <c r="H21" s="681"/>
      <c r="I21" s="681"/>
      <c r="J21" s="681"/>
      <c r="K21" s="681"/>
      <c r="L21" s="681"/>
      <c r="M21" s="681"/>
      <c r="N21" s="681"/>
      <c r="O21" s="681"/>
      <c r="P21" s="681"/>
      <c r="Q21" s="682"/>
      <c r="R21" s="580"/>
      <c r="S21" s="211"/>
      <c r="T21" s="263"/>
      <c r="U21" s="263"/>
      <c r="V21" s="493"/>
    </row>
    <row r="22" spans="1:22" ht="14.25" customHeight="1">
      <c r="A22" s="596"/>
      <c r="B22" s="543"/>
      <c r="C22" s="683" t="s">
        <v>166</v>
      </c>
      <c r="D22" s="683"/>
      <c r="E22" s="683"/>
      <c r="F22" s="683"/>
      <c r="G22" s="683"/>
      <c r="H22" s="683"/>
      <c r="I22" s="683"/>
      <c r="J22" s="683"/>
      <c r="K22" s="683"/>
      <c r="L22" s="683"/>
      <c r="M22" s="683"/>
      <c r="N22" s="683"/>
      <c r="O22" s="683"/>
      <c r="P22" s="683"/>
      <c r="Q22" s="684"/>
      <c r="R22" s="580"/>
      <c r="S22" s="211"/>
      <c r="T22" s="263"/>
      <c r="U22" s="263"/>
      <c r="V22" s="493"/>
    </row>
    <row r="23" spans="1:22" ht="14.25" customHeight="1">
      <c r="A23" s="596"/>
      <c r="B23" s="543"/>
      <c r="C23" s="658" t="s">
        <v>76</v>
      </c>
      <c r="D23" s="643" t="s">
        <v>167</v>
      </c>
      <c r="E23" s="643"/>
      <c r="F23" s="643"/>
      <c r="G23" s="643"/>
      <c r="H23" s="644" t="s">
        <v>114</v>
      </c>
      <c r="I23" s="685">
        <f>IF(N2="old tax regime",'GA-55'!Q31,0)</f>
        <v>0</v>
      </c>
      <c r="J23" s="658" t="s">
        <v>77</v>
      </c>
      <c r="K23" s="686" t="s">
        <v>172</v>
      </c>
      <c r="L23" s="687"/>
      <c r="M23" s="688"/>
      <c r="N23" s="644" t="s">
        <v>114</v>
      </c>
      <c r="O23" s="685">
        <f>IF(N2="old tax regime",'Exemp.(HRA+Other) &amp; Other incom'!Q15,0)</f>
        <v>0</v>
      </c>
      <c r="P23" s="689"/>
      <c r="Q23" s="690"/>
      <c r="R23" s="580"/>
      <c r="S23" s="211"/>
      <c r="T23" s="263"/>
      <c r="U23" s="263"/>
      <c r="V23" s="493"/>
    </row>
    <row r="24" spans="1:22" ht="14.25" customHeight="1">
      <c r="A24" s="596"/>
      <c r="B24" s="543"/>
      <c r="C24" s="658" t="s">
        <v>78</v>
      </c>
      <c r="D24" s="643" t="s">
        <v>168</v>
      </c>
      <c r="E24" s="643"/>
      <c r="F24" s="643"/>
      <c r="G24" s="643"/>
      <c r="H24" s="644" t="s">
        <v>114</v>
      </c>
      <c r="I24" s="685">
        <f>IF(N2="old tax regime",'GA-55'!T31+'Exemp.(HRA+Other) &amp; Other incom'!L18,0)</f>
        <v>0</v>
      </c>
      <c r="J24" s="658" t="s">
        <v>79</v>
      </c>
      <c r="K24" s="686" t="s">
        <v>123</v>
      </c>
      <c r="L24" s="687"/>
      <c r="M24" s="688"/>
      <c r="N24" s="644" t="s">
        <v>114</v>
      </c>
      <c r="O24" s="691">
        <f>IF(N2="old tax regime",'Exemp.(HRA+Other) &amp; Other incom'!L23,0)</f>
        <v>0</v>
      </c>
      <c r="P24" s="689"/>
      <c r="Q24" s="690"/>
      <c r="R24" s="580"/>
      <c r="S24" s="211"/>
      <c r="T24" s="263"/>
      <c r="U24" s="263"/>
      <c r="V24" s="493"/>
    </row>
    <row r="25" spans="1:22" ht="14.25" customHeight="1">
      <c r="A25" s="596"/>
      <c r="B25" s="543"/>
      <c r="C25" s="658" t="s">
        <v>80</v>
      </c>
      <c r="D25" s="643" t="s">
        <v>122</v>
      </c>
      <c r="E25" s="643"/>
      <c r="F25" s="643"/>
      <c r="G25" s="643"/>
      <c r="H25" s="644" t="s">
        <v>114</v>
      </c>
      <c r="I25" s="685">
        <f>IF(N2="old tax regime",'Exemp.(HRA+Other) &amp; Other incom'!L22,0)</f>
        <v>0</v>
      </c>
      <c r="J25" s="658" t="s">
        <v>81</v>
      </c>
      <c r="K25" s="686" t="s">
        <v>120</v>
      </c>
      <c r="L25" s="687"/>
      <c r="M25" s="688"/>
      <c r="N25" s="644" t="s">
        <v>114</v>
      </c>
      <c r="O25" s="691">
        <f>IF(N2="old tax regime",'Exemp.(HRA+Other) &amp; Other incom'!L20,0)</f>
        <v>0</v>
      </c>
      <c r="P25" s="689"/>
      <c r="Q25" s="690"/>
      <c r="R25" s="580"/>
      <c r="S25" s="211"/>
      <c r="T25" s="263"/>
      <c r="U25" s="263"/>
      <c r="V25" s="493"/>
    </row>
    <row r="26" spans="1:22" ht="14.25" customHeight="1">
      <c r="A26" s="596"/>
      <c r="B26" s="543"/>
      <c r="C26" s="658" t="s">
        <v>82</v>
      </c>
      <c r="D26" s="643" t="s">
        <v>124</v>
      </c>
      <c r="E26" s="643"/>
      <c r="F26" s="643"/>
      <c r="G26" s="643"/>
      <c r="H26" s="644" t="s">
        <v>114</v>
      </c>
      <c r="I26" s="685">
        <f>IF(N2="old tax regime",'Exemp.(HRA+Other) &amp; Other incom'!L24,0)</f>
        <v>0</v>
      </c>
      <c r="J26" s="658" t="s">
        <v>83</v>
      </c>
      <c r="K26" s="692" t="s">
        <v>137</v>
      </c>
      <c r="L26" s="692"/>
      <c r="M26" s="692"/>
      <c r="N26" s="644" t="s">
        <v>114</v>
      </c>
      <c r="O26" s="685">
        <f>IF(N2="old tax regime",'Exemp.(HRA+Other) &amp; Other incom'!Q24,0)</f>
        <v>0</v>
      </c>
      <c r="P26" s="689"/>
      <c r="Q26" s="690"/>
      <c r="R26" s="580"/>
      <c r="S26" s="211"/>
      <c r="T26" s="263"/>
      <c r="U26" s="263"/>
      <c r="V26" s="493"/>
    </row>
    <row r="27" spans="1:22" ht="14.25" customHeight="1">
      <c r="A27" s="596"/>
      <c r="B27" s="543"/>
      <c r="C27" s="658" t="s">
        <v>84</v>
      </c>
      <c r="D27" s="643" t="s">
        <v>169</v>
      </c>
      <c r="E27" s="643"/>
      <c r="F27" s="643"/>
      <c r="G27" s="643"/>
      <c r="H27" s="644" t="s">
        <v>114</v>
      </c>
      <c r="I27" s="685">
        <f>IF(N2="old tax regime",'Exemp.(HRA+Other) &amp; Other incom'!L25,0)</f>
        <v>0</v>
      </c>
      <c r="J27" s="658" t="s">
        <v>85</v>
      </c>
      <c r="K27" s="686" t="s">
        <v>175</v>
      </c>
      <c r="L27" s="687"/>
      <c r="M27" s="688"/>
      <c r="N27" s="644" t="s">
        <v>114</v>
      </c>
      <c r="O27" s="685">
        <f>IF(N2="old tax regime",'Exemp.(HRA+Other) &amp; Other incom'!Q25,0)</f>
        <v>0</v>
      </c>
      <c r="P27" s="689"/>
      <c r="Q27" s="690"/>
      <c r="R27" s="580"/>
      <c r="S27" s="211"/>
      <c r="T27" s="263"/>
      <c r="U27" s="263"/>
      <c r="V27" s="493"/>
    </row>
    <row r="28" spans="1:22" ht="14.25" customHeight="1">
      <c r="A28" s="596"/>
      <c r="B28" s="543"/>
      <c r="C28" s="658" t="s">
        <v>86</v>
      </c>
      <c r="D28" s="649" t="s">
        <v>108</v>
      </c>
      <c r="E28" s="649"/>
      <c r="F28" s="649"/>
      <c r="G28" s="649"/>
      <c r="H28" s="644" t="s">
        <v>114</v>
      </c>
      <c r="I28" s="685">
        <f>IF(N2="old tax regime",'GA-55'!P31,0)</f>
        <v>0</v>
      </c>
      <c r="J28" s="658" t="s">
        <v>87</v>
      </c>
      <c r="K28" s="692" t="s">
        <v>174</v>
      </c>
      <c r="L28" s="692"/>
      <c r="M28" s="692"/>
      <c r="N28" s="644" t="s">
        <v>114</v>
      </c>
      <c r="O28" s="685">
        <f>IF(N2="old tax regime",'Exemp.(HRA+Other) &amp; Other incom'!L19,0)</f>
        <v>0</v>
      </c>
      <c r="P28" s="689"/>
      <c r="Q28" s="690"/>
      <c r="R28" s="580"/>
      <c r="S28" s="211"/>
      <c r="T28" s="263"/>
      <c r="U28" s="263"/>
      <c r="V28" s="493"/>
    </row>
    <row r="29" spans="1:22" ht="14.25" customHeight="1">
      <c r="A29" s="596"/>
      <c r="B29" s="543"/>
      <c r="C29" s="658" t="s">
        <v>88</v>
      </c>
      <c r="D29" s="643" t="s">
        <v>170</v>
      </c>
      <c r="E29" s="643"/>
      <c r="F29" s="643"/>
      <c r="G29" s="643"/>
      <c r="H29" s="644" t="s">
        <v>114</v>
      </c>
      <c r="I29" s="691">
        <f>IF(N2="old tax regime",'GA-55'!U31,0)</f>
        <v>0</v>
      </c>
      <c r="J29" s="658" t="s">
        <v>89</v>
      </c>
      <c r="K29" s="686" t="s">
        <v>127</v>
      </c>
      <c r="L29" s="687"/>
      <c r="M29" s="688"/>
      <c r="N29" s="644" t="s">
        <v>114</v>
      </c>
      <c r="O29" s="685">
        <f>IF(N2="old tax regime",'Exemp.(HRA+Other) &amp; Other incom'!Q14,0)</f>
        <v>0</v>
      </c>
      <c r="P29" s="689"/>
      <c r="Q29" s="690"/>
      <c r="R29" s="580"/>
      <c r="S29" s="211"/>
      <c r="T29" s="263"/>
      <c r="U29" s="263"/>
      <c r="V29" s="493"/>
    </row>
    <row r="30" spans="1:22" ht="14.25" customHeight="1">
      <c r="A30" s="596"/>
      <c r="B30" s="543"/>
      <c r="C30" s="658" t="s">
        <v>90</v>
      </c>
      <c r="D30" s="643" t="s">
        <v>121</v>
      </c>
      <c r="E30" s="643"/>
      <c r="F30" s="643"/>
      <c r="G30" s="643"/>
      <c r="H30" s="644" t="s">
        <v>114</v>
      </c>
      <c r="I30" s="691">
        <f>IF(N2="old tax regime",'Exemp.(HRA+Other) &amp; Other incom'!L21,0)</f>
        <v>0</v>
      </c>
      <c r="J30" s="658" t="s">
        <v>91</v>
      </c>
      <c r="K30" s="692" t="s">
        <v>173</v>
      </c>
      <c r="L30" s="692"/>
      <c r="M30" s="692"/>
      <c r="N30" s="644" t="s">
        <v>114</v>
      </c>
      <c r="O30" s="685">
        <f>IF(N2="old tax regime",'Exemp.(HRA+Other) &amp; Other incom'!L26,0)</f>
        <v>0</v>
      </c>
      <c r="P30" s="689"/>
      <c r="Q30" s="690"/>
      <c r="R30" s="580"/>
      <c r="S30" s="211"/>
      <c r="T30" s="263"/>
      <c r="U30" s="263"/>
      <c r="V30" s="493"/>
    </row>
    <row r="31" spans="1:22" ht="14.25" customHeight="1">
      <c r="A31" s="596"/>
      <c r="B31" s="543"/>
      <c r="C31" s="658" t="s">
        <v>92</v>
      </c>
      <c r="D31" s="693" t="s">
        <v>171</v>
      </c>
      <c r="E31" s="693"/>
      <c r="F31" s="693"/>
      <c r="G31" s="693"/>
      <c r="H31" s="644" t="s">
        <v>114</v>
      </c>
      <c r="I31" s="685">
        <f>IF(N2="old tax regime",'Exemp.(HRA+Other) &amp; Other incom'!L16,0)</f>
        <v>0</v>
      </c>
      <c r="J31" s="658" t="s">
        <v>93</v>
      </c>
      <c r="K31" s="692"/>
      <c r="L31" s="692"/>
      <c r="M31" s="692"/>
      <c r="N31" s="644" t="s">
        <v>114</v>
      </c>
      <c r="O31" s="685"/>
      <c r="P31" s="689"/>
      <c r="Q31" s="690"/>
      <c r="R31" s="580"/>
      <c r="S31" s="211"/>
      <c r="T31" s="263"/>
      <c r="U31" s="263"/>
      <c r="V31" s="493"/>
    </row>
    <row r="32" spans="1:22" ht="14.25" customHeight="1">
      <c r="A32" s="596"/>
      <c r="B32" s="543"/>
      <c r="C32" s="694" t="s">
        <v>176</v>
      </c>
      <c r="D32" s="694"/>
      <c r="E32" s="694"/>
      <c r="F32" s="694"/>
      <c r="G32" s="694"/>
      <c r="H32" s="694"/>
      <c r="I32" s="694"/>
      <c r="J32" s="694"/>
      <c r="K32" s="694"/>
      <c r="L32" s="694"/>
      <c r="M32" s="694"/>
      <c r="N32" s="644" t="s">
        <v>114</v>
      </c>
      <c r="O32" s="695">
        <f>SUM(O23:O31,I23:I31)</f>
        <v>0</v>
      </c>
      <c r="P32" s="689"/>
      <c r="Q32" s="690"/>
      <c r="R32" s="580"/>
      <c r="S32" s="211"/>
      <c r="T32" s="263"/>
      <c r="U32" s="263"/>
      <c r="V32" s="493"/>
    </row>
    <row r="33" spans="1:28" ht="14.25" customHeight="1">
      <c r="A33" s="596"/>
      <c r="B33" s="543"/>
      <c r="C33" s="694" t="s">
        <v>177</v>
      </c>
      <c r="D33" s="694"/>
      <c r="E33" s="694"/>
      <c r="F33" s="694"/>
      <c r="G33" s="694"/>
      <c r="H33" s="694"/>
      <c r="I33" s="694"/>
      <c r="J33" s="694"/>
      <c r="K33" s="694"/>
      <c r="L33" s="694"/>
      <c r="M33" s="694"/>
      <c r="N33" s="694"/>
      <c r="O33" s="694"/>
      <c r="P33" s="696" t="s">
        <v>114</v>
      </c>
      <c r="Q33" s="656">
        <f>IF(N2="new tax regime",0,IF(O32&gt;=150000,150000,O32))</f>
        <v>0</v>
      </c>
      <c r="R33" s="580"/>
      <c r="S33" s="211"/>
      <c r="T33" s="263"/>
      <c r="U33" s="263"/>
      <c r="V33" s="493"/>
    </row>
    <row r="34" spans="1:28" ht="20.25" customHeight="1">
      <c r="A34" s="596"/>
      <c r="B34" s="543"/>
      <c r="C34" s="683" t="s">
        <v>178</v>
      </c>
      <c r="D34" s="683"/>
      <c r="E34" s="683"/>
      <c r="F34" s="683"/>
      <c r="G34" s="683"/>
      <c r="H34" s="683"/>
      <c r="I34" s="683"/>
      <c r="J34" s="683"/>
      <c r="K34" s="683"/>
      <c r="L34" s="683"/>
      <c r="M34" s="683"/>
      <c r="N34" s="683"/>
      <c r="O34" s="683"/>
      <c r="P34" s="644" t="s">
        <v>114</v>
      </c>
      <c r="Q34" s="656">
        <f>IF(N2="old tax regime",'Exemp.(HRA+Other) &amp; Other incom'!Q16,0)</f>
        <v>0</v>
      </c>
      <c r="R34" s="580"/>
      <c r="S34" s="211"/>
      <c r="T34" s="263"/>
      <c r="U34" s="263"/>
      <c r="V34" s="493"/>
    </row>
    <row r="35" spans="1:28" ht="20.25" customHeight="1">
      <c r="A35" s="596"/>
      <c r="B35" s="543"/>
      <c r="C35" s="578" t="s">
        <v>180</v>
      </c>
      <c r="D35" s="578"/>
      <c r="E35" s="578"/>
      <c r="F35" s="578"/>
      <c r="G35" s="578"/>
      <c r="H35" s="578"/>
      <c r="I35" s="578"/>
      <c r="J35" s="578"/>
      <c r="K35" s="578"/>
      <c r="L35" s="578"/>
      <c r="M35" s="578"/>
      <c r="N35" s="578"/>
      <c r="O35" s="578"/>
      <c r="P35" s="54" t="s">
        <v>114</v>
      </c>
      <c r="Q35" s="79">
        <f>Q33+Q34</f>
        <v>0</v>
      </c>
      <c r="R35" s="580"/>
      <c r="S35" s="211"/>
      <c r="T35" s="263"/>
      <c r="U35" s="263"/>
      <c r="V35" s="493"/>
    </row>
    <row r="36" spans="1:28" ht="14.25" customHeight="1">
      <c r="A36" s="596"/>
      <c r="B36" s="543">
        <v>12</v>
      </c>
      <c r="C36" s="560" t="s">
        <v>179</v>
      </c>
      <c r="D36" s="560"/>
      <c r="E36" s="560"/>
      <c r="F36" s="560"/>
      <c r="G36" s="560"/>
      <c r="H36" s="560"/>
      <c r="I36" s="560"/>
      <c r="J36" s="560"/>
      <c r="K36" s="560"/>
      <c r="L36" s="560"/>
      <c r="M36" s="560"/>
      <c r="N36" s="560"/>
      <c r="O36" s="560"/>
      <c r="P36" s="560"/>
      <c r="Q36" s="561"/>
      <c r="R36" s="580"/>
      <c r="S36" s="211"/>
      <c r="T36" s="263"/>
      <c r="U36" s="263"/>
      <c r="V36" s="493"/>
    </row>
    <row r="37" spans="1:28" ht="14.25" customHeight="1">
      <c r="A37" s="596"/>
      <c r="B37" s="543"/>
      <c r="C37" s="661" t="s">
        <v>287</v>
      </c>
      <c r="D37" s="662"/>
      <c r="E37" s="662"/>
      <c r="F37" s="662"/>
      <c r="G37" s="662"/>
      <c r="H37" s="662"/>
      <c r="I37" s="662"/>
      <c r="J37" s="662"/>
      <c r="K37" s="662"/>
      <c r="L37" s="662"/>
      <c r="M37" s="662"/>
      <c r="N37" s="662"/>
      <c r="O37" s="663"/>
      <c r="P37" s="667" t="s">
        <v>114</v>
      </c>
      <c r="Q37" s="679">
        <v>0</v>
      </c>
      <c r="R37" s="580"/>
      <c r="S37" s="211"/>
      <c r="T37" s="263"/>
      <c r="U37" s="263"/>
      <c r="V37" s="493"/>
    </row>
    <row r="38" spans="1:28" ht="14.25" customHeight="1">
      <c r="A38" s="596"/>
      <c r="B38" s="543"/>
      <c r="C38" s="664"/>
      <c r="D38" s="665"/>
      <c r="E38" s="665"/>
      <c r="F38" s="665"/>
      <c r="G38" s="665"/>
      <c r="H38" s="665"/>
      <c r="I38" s="665"/>
      <c r="J38" s="665"/>
      <c r="K38" s="665"/>
      <c r="L38" s="665"/>
      <c r="M38" s="665"/>
      <c r="N38" s="665"/>
      <c r="O38" s="666"/>
      <c r="P38" s="668"/>
      <c r="Q38" s="680"/>
      <c r="R38" s="580"/>
      <c r="S38" s="211"/>
      <c r="T38" s="263"/>
      <c r="U38" s="263"/>
      <c r="V38" s="493"/>
    </row>
    <row r="39" spans="1:28" ht="14.25" customHeight="1">
      <c r="A39" s="596"/>
      <c r="B39" s="543"/>
      <c r="C39" s="661" t="s">
        <v>288</v>
      </c>
      <c r="D39" s="662"/>
      <c r="E39" s="662"/>
      <c r="F39" s="662"/>
      <c r="G39" s="662"/>
      <c r="H39" s="662"/>
      <c r="I39" s="662"/>
      <c r="J39" s="662"/>
      <c r="K39" s="662"/>
      <c r="L39" s="662"/>
      <c r="M39" s="662"/>
      <c r="N39" s="662"/>
      <c r="O39" s="663"/>
      <c r="P39" s="667" t="s">
        <v>114</v>
      </c>
      <c r="Q39" s="679">
        <v>0</v>
      </c>
      <c r="R39" s="580"/>
      <c r="S39" s="211"/>
      <c r="T39" s="263"/>
      <c r="U39" s="263"/>
      <c r="V39" s="493"/>
    </row>
    <row r="40" spans="1:28" ht="14.25" customHeight="1">
      <c r="A40" s="596"/>
      <c r="B40" s="543"/>
      <c r="C40" s="664"/>
      <c r="D40" s="665"/>
      <c r="E40" s="665"/>
      <c r="F40" s="665"/>
      <c r="G40" s="665"/>
      <c r="H40" s="665"/>
      <c r="I40" s="665"/>
      <c r="J40" s="665"/>
      <c r="K40" s="665"/>
      <c r="L40" s="665"/>
      <c r="M40" s="665"/>
      <c r="N40" s="665"/>
      <c r="O40" s="666"/>
      <c r="P40" s="668"/>
      <c r="Q40" s="680"/>
      <c r="R40" s="580"/>
      <c r="S40" s="211"/>
      <c r="T40" s="263"/>
      <c r="U40" s="263"/>
      <c r="V40" s="493"/>
    </row>
    <row r="41" spans="1:28" ht="14.25" customHeight="1">
      <c r="A41" s="596"/>
      <c r="B41" s="543"/>
      <c r="C41" s="669"/>
      <c r="D41" s="670"/>
      <c r="E41" s="670"/>
      <c r="F41" s="670"/>
      <c r="G41" s="670"/>
      <c r="H41" s="670"/>
      <c r="I41" s="670"/>
      <c r="J41" s="670"/>
      <c r="K41" s="670"/>
      <c r="L41" s="670"/>
      <c r="M41" s="670"/>
      <c r="N41" s="670"/>
      <c r="O41" s="671"/>
      <c r="P41" s="672"/>
      <c r="Q41" s="673"/>
      <c r="R41" s="580"/>
      <c r="S41" s="211"/>
      <c r="T41" s="263"/>
      <c r="U41" s="263"/>
      <c r="V41" s="493"/>
      <c r="W41" s="93"/>
      <c r="X41" s="93" t="s">
        <v>222</v>
      </c>
      <c r="Y41" s="93" t="s">
        <v>253</v>
      </c>
      <c r="Z41" s="94" t="s">
        <v>254</v>
      </c>
      <c r="AA41" s="196" t="s">
        <v>255</v>
      </c>
      <c r="AB41" s="196" t="s">
        <v>225</v>
      </c>
    </row>
    <row r="42" spans="1:28" ht="14.25" customHeight="1">
      <c r="A42" s="596"/>
      <c r="B42" s="543"/>
      <c r="C42" s="674"/>
      <c r="D42" s="675"/>
      <c r="E42" s="675"/>
      <c r="F42" s="675"/>
      <c r="G42" s="675"/>
      <c r="H42" s="675"/>
      <c r="I42" s="675"/>
      <c r="J42" s="675"/>
      <c r="K42" s="675"/>
      <c r="L42" s="675"/>
      <c r="M42" s="675"/>
      <c r="N42" s="675"/>
      <c r="O42" s="676"/>
      <c r="P42" s="677"/>
      <c r="Q42" s="678"/>
      <c r="R42" s="580"/>
      <c r="S42" s="211"/>
      <c r="T42" s="263"/>
      <c r="U42" s="263"/>
      <c r="V42" s="493"/>
      <c r="W42" s="93"/>
      <c r="X42" s="93">
        <f>IF($Q$48&gt;1500000,1,IF($Q$48&gt;1200000,2,IF($Q$48&gt;900000,3,IF($Q$48&gt;600000,4,IF($Q$48&gt;300000,5,0)))))</f>
        <v>4</v>
      </c>
      <c r="Y42" s="93">
        <f>IF($Q$48&gt;1500000,1,IF($Q$48&gt;1200000,2,IF($Q$48&gt;900000,3,IF($Q$48&gt;600000,4,0))))</f>
        <v>4</v>
      </c>
      <c r="Z42" s="93">
        <f>IF($Q$48&gt;1500000,1,IF($Q$48&gt;1200000,2,IF($Q$48&gt;900000,3,0)))</f>
        <v>0</v>
      </c>
      <c r="AA42" s="196">
        <f>IF($Q$48&gt;1500000,1,IF($Q$48&gt;1200000,2,0))</f>
        <v>0</v>
      </c>
      <c r="AB42" s="196">
        <f>IF($Q$48&gt;1500000,1,0)</f>
        <v>0</v>
      </c>
    </row>
    <row r="43" spans="1:28" ht="14.25" customHeight="1">
      <c r="A43" s="596"/>
      <c r="B43" s="543"/>
      <c r="C43" s="669"/>
      <c r="D43" s="670"/>
      <c r="E43" s="670"/>
      <c r="F43" s="670"/>
      <c r="G43" s="670"/>
      <c r="H43" s="670"/>
      <c r="I43" s="670"/>
      <c r="J43" s="670"/>
      <c r="K43" s="670"/>
      <c r="L43" s="670"/>
      <c r="M43" s="670"/>
      <c r="N43" s="670"/>
      <c r="O43" s="671"/>
      <c r="P43" s="672"/>
      <c r="Q43" s="673"/>
      <c r="R43" s="580"/>
      <c r="S43" s="211"/>
      <c r="T43" s="263"/>
      <c r="U43" s="263"/>
      <c r="V43" s="493"/>
      <c r="W43" s="93" t="s">
        <v>218</v>
      </c>
      <c r="X43" s="93">
        <f>IF(X42&gt;=5,ROUND(($Q$48-300000)*0.05,0),IF(X42=0,0,15000))</f>
        <v>15000</v>
      </c>
      <c r="Y43" s="93">
        <f>IF(Y42&gt;=4,ROUND(($Q$48-600000)*0.1,0),IF(Y42=0,0,30000))</f>
        <v>10272</v>
      </c>
      <c r="Z43" s="93">
        <f>IF(Z42&gt;=3,ROUND(($Q$48-900000)*0.15,0),IF(Z42=0,0,45000))</f>
        <v>0</v>
      </c>
      <c r="AA43" s="196">
        <f>IF(AA42&gt;=2,ROUND(($Q$48-1200000)*0.2,0),IF(AA42=0,0,60000))</f>
        <v>0</v>
      </c>
      <c r="AB43" s="196">
        <f>IF(AB42&gt;0,ROUND(($Q$48-1500000)*0.3,0),0)</f>
        <v>0</v>
      </c>
    </row>
    <row r="44" spans="1:28" ht="14.25" customHeight="1">
      <c r="A44" s="596"/>
      <c r="B44" s="543"/>
      <c r="C44" s="674"/>
      <c r="D44" s="675"/>
      <c r="E44" s="675"/>
      <c r="F44" s="675"/>
      <c r="G44" s="675"/>
      <c r="H44" s="675"/>
      <c r="I44" s="675"/>
      <c r="J44" s="675"/>
      <c r="K44" s="675"/>
      <c r="L44" s="675"/>
      <c r="M44" s="675"/>
      <c r="N44" s="675"/>
      <c r="O44" s="676"/>
      <c r="P44" s="677"/>
      <c r="Q44" s="678"/>
      <c r="R44" s="580"/>
      <c r="S44" s="211"/>
      <c r="T44" s="263"/>
      <c r="U44" s="263"/>
      <c r="V44" s="493"/>
      <c r="W44" s="107"/>
      <c r="X44" s="111"/>
    </row>
    <row r="45" spans="1:28" ht="12" customHeight="1" thickBot="1">
      <c r="A45" s="596"/>
      <c r="B45" s="559"/>
      <c r="C45" s="564" t="s">
        <v>292</v>
      </c>
      <c r="D45" s="564"/>
      <c r="E45" s="564"/>
      <c r="F45" s="564"/>
      <c r="G45" s="564"/>
      <c r="H45" s="564"/>
      <c r="I45" s="564"/>
      <c r="J45" s="564"/>
      <c r="K45" s="564"/>
      <c r="L45" s="564"/>
      <c r="M45" s="564"/>
      <c r="N45" s="564"/>
      <c r="O45" s="564"/>
      <c r="P45" s="56" t="s">
        <v>114</v>
      </c>
      <c r="Q45" s="74">
        <f>SUM(Q37:Q44)</f>
        <v>0</v>
      </c>
      <c r="R45" s="580"/>
      <c r="S45" s="211"/>
      <c r="T45" s="263"/>
      <c r="U45" s="263"/>
      <c r="V45" s="493"/>
      <c r="W45" s="107"/>
      <c r="X45" s="111"/>
      <c r="Y45" s="111"/>
    </row>
    <row r="46" spans="1:28" ht="21" customHeight="1" thickBot="1">
      <c r="A46" s="596"/>
      <c r="B46" s="64">
        <v>13</v>
      </c>
      <c r="C46" s="550" t="s">
        <v>189</v>
      </c>
      <c r="D46" s="550"/>
      <c r="E46" s="550"/>
      <c r="F46" s="550"/>
      <c r="G46" s="550"/>
      <c r="H46" s="550"/>
      <c r="I46" s="550"/>
      <c r="J46" s="550"/>
      <c r="K46" s="550"/>
      <c r="L46" s="550"/>
      <c r="M46" s="550"/>
      <c r="N46" s="550"/>
      <c r="O46" s="550"/>
      <c r="P46" s="62" t="s">
        <v>114</v>
      </c>
      <c r="Q46" s="75">
        <f>Q35+Q45</f>
        <v>0</v>
      </c>
      <c r="R46" s="580"/>
      <c r="S46" s="211"/>
      <c r="T46" s="263"/>
      <c r="U46" s="263"/>
      <c r="V46" s="493"/>
    </row>
    <row r="47" spans="1:28" ht="20.25" customHeight="1">
      <c r="A47" s="596"/>
      <c r="B47" s="98">
        <v>14</v>
      </c>
      <c r="C47" s="551" t="s">
        <v>190</v>
      </c>
      <c r="D47" s="551"/>
      <c r="E47" s="551"/>
      <c r="F47" s="551"/>
      <c r="G47" s="551"/>
      <c r="H47" s="551"/>
      <c r="I47" s="551"/>
      <c r="J47" s="551"/>
      <c r="K47" s="551"/>
      <c r="L47" s="551"/>
      <c r="M47" s="551"/>
      <c r="N47" s="551"/>
      <c r="O47" s="551"/>
      <c r="P47" s="58" t="s">
        <v>114</v>
      </c>
      <c r="Q47" s="76">
        <f>Q20-Q46</f>
        <v>702717</v>
      </c>
      <c r="R47" s="580"/>
      <c r="S47" s="211"/>
      <c r="T47" s="263"/>
      <c r="U47" s="263"/>
      <c r="V47" s="493"/>
    </row>
    <row r="48" spans="1:28" ht="15.75" customHeight="1" thickBot="1">
      <c r="A48" s="596"/>
      <c r="B48" s="100">
        <v>15</v>
      </c>
      <c r="C48" s="541" t="s">
        <v>191</v>
      </c>
      <c r="D48" s="541"/>
      <c r="E48" s="541"/>
      <c r="F48" s="541"/>
      <c r="G48" s="541"/>
      <c r="H48" s="541"/>
      <c r="I48" s="541"/>
      <c r="J48" s="541"/>
      <c r="K48" s="541"/>
      <c r="L48" s="541"/>
      <c r="M48" s="541"/>
      <c r="N48" s="541"/>
      <c r="O48" s="541"/>
      <c r="P48" s="59" t="s">
        <v>114</v>
      </c>
      <c r="Q48" s="77">
        <f>ROUND(Q47,-1)</f>
        <v>702720</v>
      </c>
      <c r="R48" s="580"/>
      <c r="S48" s="211"/>
      <c r="T48" s="263"/>
      <c r="U48" s="263"/>
      <c r="V48" s="493"/>
      <c r="W48" s="106"/>
      <c r="X48" s="111"/>
      <c r="Y48" s="111"/>
      <c r="Z48" s="111"/>
    </row>
    <row r="49" spans="1:41" ht="14.25" customHeight="1">
      <c r="A49" s="596"/>
      <c r="B49" s="542">
        <v>16</v>
      </c>
      <c r="C49" s="552" t="s">
        <v>192</v>
      </c>
      <c r="D49" s="552"/>
      <c r="E49" s="552"/>
      <c r="F49" s="552"/>
      <c r="G49" s="552"/>
      <c r="H49" s="552"/>
      <c r="I49" s="552"/>
      <c r="J49" s="552"/>
      <c r="K49" s="552"/>
      <c r="L49" s="552"/>
      <c r="M49" s="552"/>
      <c r="N49" s="552"/>
      <c r="O49" s="552"/>
      <c r="P49" s="552"/>
      <c r="Q49" s="553"/>
      <c r="R49" s="580"/>
      <c r="S49" s="211"/>
      <c r="T49" s="263"/>
      <c r="U49" s="263"/>
      <c r="V49" s="493"/>
    </row>
    <row r="50" spans="1:41" ht="14.25" customHeight="1">
      <c r="A50" s="596"/>
      <c r="B50" s="543"/>
      <c r="C50" s="554" t="s">
        <v>252</v>
      </c>
      <c r="D50" s="555"/>
      <c r="E50" s="555"/>
      <c r="F50" s="555"/>
      <c r="G50" s="555"/>
      <c r="H50" s="556"/>
      <c r="I50" s="554" t="s">
        <v>193</v>
      </c>
      <c r="J50" s="555"/>
      <c r="K50" s="557" t="s">
        <v>194</v>
      </c>
      <c r="L50" s="558"/>
      <c r="M50" s="554" t="s">
        <v>251</v>
      </c>
      <c r="N50" s="555"/>
      <c r="O50" s="556"/>
      <c r="P50" s="103"/>
      <c r="Q50" s="68"/>
      <c r="R50" s="580"/>
      <c r="S50" s="211"/>
      <c r="T50" s="263"/>
      <c r="U50" s="263"/>
      <c r="V50" s="493"/>
    </row>
    <row r="51" spans="1:41" ht="12" customHeight="1">
      <c r="A51" s="596"/>
      <c r="B51" s="543"/>
      <c r="C51" s="544" t="str">
        <f t="shared" ref="C51" si="0">IF($N$2="old tax regime","2,50,000 तक","3,00,000 तक")</f>
        <v>3,00,000 तक</v>
      </c>
      <c r="D51" s="545"/>
      <c r="E51" s="545"/>
      <c r="F51" s="545"/>
      <c r="G51" s="545"/>
      <c r="H51" s="546"/>
      <c r="I51" s="544" t="str">
        <f t="shared" ref="I51" si="1">IF($N$2="old tax regime","Nil","Nil")</f>
        <v>Nil</v>
      </c>
      <c r="J51" s="546"/>
      <c r="K51" s="544" t="str">
        <f t="shared" ref="K51" si="2">IF($N$2="old tax regime","Nil","Nil")</f>
        <v>Nil</v>
      </c>
      <c r="L51" s="546"/>
      <c r="M51" s="544" t="str">
        <f>IF($N$2="old tax regime","Nil","Nil")</f>
        <v>Nil</v>
      </c>
      <c r="N51" s="545"/>
      <c r="O51" s="546"/>
      <c r="P51" s="53" t="s">
        <v>114</v>
      </c>
      <c r="Q51" s="70">
        <v>0</v>
      </c>
      <c r="R51" s="580"/>
      <c r="S51" s="211"/>
      <c r="T51" s="263"/>
      <c r="U51" s="263"/>
      <c r="V51" s="493"/>
    </row>
    <row r="52" spans="1:41" ht="12" customHeight="1">
      <c r="A52" s="596"/>
      <c r="B52" s="543"/>
      <c r="C52" s="544" t="str">
        <f>IF($N$2="old tax regime","2,50,001 से 3,00,000 तक","3,00,001 से 6,00,000 तक")</f>
        <v>3,00,001 से 6,00,000 तक</v>
      </c>
      <c r="D52" s="545"/>
      <c r="E52" s="545"/>
      <c r="F52" s="545"/>
      <c r="G52" s="545"/>
      <c r="H52" s="546"/>
      <c r="I52" s="547" t="str">
        <f t="shared" ref="I52" si="3">IF($N$2="old tax regime","5%","5% (With Tax Rebate Under Sec.87A)")</f>
        <v>5% (With Tax Rebate Under Sec.87A)</v>
      </c>
      <c r="J52" s="548"/>
      <c r="K52" s="547" t="str">
        <f>IF($N$2="old tax regime","Nil","5% (With Tax Rebate Under Sec.87A)")</f>
        <v>5% (With Tax Rebate Under Sec.87A)</v>
      </c>
      <c r="L52" s="548"/>
      <c r="M52" s="547" t="str">
        <f>IF($N$2="old tax regime","Nil","5% (With Tax Rebate Under Sec.87A)")</f>
        <v>5% (With Tax Rebate Under Sec.87A)</v>
      </c>
      <c r="N52" s="549"/>
      <c r="O52" s="548"/>
      <c r="P52" s="53" t="s">
        <v>114</v>
      </c>
      <c r="Q52" s="70">
        <f>X55</f>
        <v>15000</v>
      </c>
      <c r="R52" s="580"/>
      <c r="S52" s="211"/>
      <c r="T52" s="263"/>
      <c r="U52" s="263"/>
      <c r="V52" s="493"/>
    </row>
    <row r="53" spans="1:41" ht="12" customHeight="1">
      <c r="A53" s="596"/>
      <c r="B53" s="543"/>
      <c r="C53" s="544" t="str">
        <f>IF($N$2="old tax regime","3,00,001 से 5,00,000 तक","6,00,001 से 9,00,000 तक")</f>
        <v>6,00,001 से 9,00,000 तक</v>
      </c>
      <c r="D53" s="545"/>
      <c r="E53" s="545"/>
      <c r="F53" s="545"/>
      <c r="G53" s="545"/>
      <c r="H53" s="546"/>
      <c r="I53" s="547" t="str">
        <f>IF($N$2="old tax regime","5%","10% (With Tax Rebate Under Sec.87A Up to Rs. 7 Lakh.)")</f>
        <v>10% (With Tax Rebate Under Sec.87A Up to Rs. 7 Lakh.)</v>
      </c>
      <c r="J53" s="548"/>
      <c r="K53" s="547" t="str">
        <f>IF($N$2="old tax regime","5%","10% (With Tax Rebate Under Sec.87A Up to Rs. 7 Lakh.)")</f>
        <v>10% (With Tax Rebate Under Sec.87A Up to Rs. 7 Lakh.)</v>
      </c>
      <c r="L53" s="548"/>
      <c r="M53" s="547" t="str">
        <f>IF($N$2="old tax regime","Nil","10% (With Tax Rebate Under Sec.87A Up to Rs. 7 Lakh.)")</f>
        <v>10% (With Tax Rebate Under Sec.87A Up to Rs. 7 Lakh.)</v>
      </c>
      <c r="N53" s="549"/>
      <c r="O53" s="548"/>
      <c r="P53" s="53" t="s">
        <v>114</v>
      </c>
      <c r="Q53" s="70">
        <f>ROUND(Y55,0)</f>
        <v>10272</v>
      </c>
      <c r="R53" s="580"/>
      <c r="S53" s="211"/>
      <c r="T53" s="263"/>
      <c r="U53" s="263"/>
      <c r="V53" s="493"/>
      <c r="W53" s="93"/>
      <c r="X53" s="93" t="s">
        <v>222</v>
      </c>
      <c r="Y53" s="93" t="s">
        <v>253</v>
      </c>
      <c r="Z53" s="94" t="s">
        <v>254</v>
      </c>
      <c r="AA53" s="196" t="s">
        <v>255</v>
      </c>
      <c r="AB53" s="196" t="s">
        <v>225</v>
      </c>
      <c r="AC53" s="212" t="s">
        <v>274</v>
      </c>
      <c r="AD53" s="212" t="s">
        <v>276</v>
      </c>
      <c r="AE53" s="212" t="s">
        <v>275</v>
      </c>
      <c r="AH53" s="93"/>
      <c r="AI53" s="93">
        <f>IF(Q48&gt;10000000,3,IF(Q48&gt;5000000,2,IF(Q48&gt;700000,1,0)))</f>
        <v>1</v>
      </c>
      <c r="AJ53" s="93">
        <f>IF(AI53=1,Q48-700000,0)</f>
        <v>2720</v>
      </c>
      <c r="AK53" s="214">
        <f>IF(AI53=2,Q48-5000000,0)</f>
        <v>0</v>
      </c>
      <c r="AL53" s="106">
        <f>IF(AI53=3,Q48-10000000,0)</f>
        <v>0</v>
      </c>
      <c r="AM53" s="106"/>
      <c r="AN53" s="106"/>
      <c r="AO53" s="106"/>
    </row>
    <row r="54" spans="1:41" ht="12" customHeight="1">
      <c r="A54" s="596"/>
      <c r="B54" s="543"/>
      <c r="C54" s="544" t="str">
        <f>IF($N$2="old tax regime","5,00,001 से 10,00,000 तक","9,00,001 से 12,00,000 तक")</f>
        <v>9,00,001 से 12,00,000 तक</v>
      </c>
      <c r="D54" s="545"/>
      <c r="E54" s="545"/>
      <c r="F54" s="545"/>
      <c r="G54" s="545"/>
      <c r="H54" s="546"/>
      <c r="I54" s="544" t="str">
        <f t="shared" ref="I54" si="4">IF($N$2="old tax regime","20%","15%")</f>
        <v>15%</v>
      </c>
      <c r="J54" s="546"/>
      <c r="K54" s="544" t="str">
        <f>IF($N$2="old tax regime","20%","15%")</f>
        <v>15%</v>
      </c>
      <c r="L54" s="546"/>
      <c r="M54" s="544" t="str">
        <f>IF($N$2="old tax regime","20%","15%")</f>
        <v>15%</v>
      </c>
      <c r="N54" s="545"/>
      <c r="O54" s="546"/>
      <c r="P54" s="53" t="s">
        <v>114</v>
      </c>
      <c r="Q54" s="70">
        <f>Z55</f>
        <v>0</v>
      </c>
      <c r="R54" s="580"/>
      <c r="S54" s="211"/>
      <c r="T54" s="263"/>
      <c r="U54" s="263"/>
      <c r="V54" s="493"/>
      <c r="W54" s="93"/>
      <c r="X54" s="93">
        <f>IF($Q$48&gt;10000000,1,IF($Q$48&gt;5000000,2,IF(Q$48&gt;1500000,3,IF($Q$48&gt;1200000,4,IF($Q$48&gt;900000,5,IF($Q$48&gt;600000,6,IF($Q$48&gt;300000,7,0)))))))</f>
        <v>6</v>
      </c>
      <c r="Y54" s="93">
        <f>IF($Q$48&gt;10000000,1,IF($Q$48&gt;5000000,2,IF(Q$48&gt;1500000,3,IF($Q$48&gt;1200000,4,IF($Q$48&gt;900000,5,IF($Q$48&gt;600000,6,0))))))</f>
        <v>6</v>
      </c>
      <c r="Z54" s="93">
        <f>IF($Q$48&gt;10000000,1,IF($Q$48&gt;5000000,2,IF(Q$48&gt;1500000,3,IF($Q$48&gt;1200000,4,IF($Q$48&gt;900000,5,0)))))</f>
        <v>0</v>
      </c>
      <c r="AA54" s="196">
        <f>IF($Q$48&gt;10000000,1,IF($Q$48&gt;5000000,2,IF(Q$48&gt;1500000,3,IF($Q$48&gt;1200000,4,0))))</f>
        <v>0</v>
      </c>
      <c r="AB54" s="196">
        <f>IF($Q$48&gt;10000000,1,IF($Q$48&gt;5000000,2,IF(Q$48&gt;1500000,3,0)))</f>
        <v>0</v>
      </c>
      <c r="AC54" s="212">
        <f>IF($Q$48&gt;10000000,1,IF($Q$48&gt;5000000,2,0))</f>
        <v>0</v>
      </c>
      <c r="AD54" s="106">
        <f>IF($Q$48&gt;10000000,1,0)</f>
        <v>0</v>
      </c>
      <c r="AE54" s="106"/>
      <c r="AH54" s="93"/>
      <c r="AI54" s="93"/>
      <c r="AJ54" s="93"/>
      <c r="AK54" s="93"/>
      <c r="AL54" s="106"/>
      <c r="AM54" s="106"/>
      <c r="AN54" s="106"/>
      <c r="AO54" s="106"/>
    </row>
    <row r="55" spans="1:41" ht="12" customHeight="1">
      <c r="A55" s="596"/>
      <c r="B55" s="543"/>
      <c r="C55" s="544" t="str">
        <f>IF($N$2="old tax regime","10,00,001 अथवा इससे ऊपर","12,00,001 से 15,00,000 तक")</f>
        <v>12,00,001 से 15,00,000 तक</v>
      </c>
      <c r="D55" s="545"/>
      <c r="E55" s="545"/>
      <c r="F55" s="545"/>
      <c r="G55" s="545"/>
      <c r="H55" s="546"/>
      <c r="I55" s="544" t="str">
        <f>IF($N$2="old tax regime","30%","20%")</f>
        <v>20%</v>
      </c>
      <c r="J55" s="546"/>
      <c r="K55" s="544" t="str">
        <f>IF($N$2="old tax regime","30%","20%")</f>
        <v>20%</v>
      </c>
      <c r="L55" s="546"/>
      <c r="M55" s="544" t="str">
        <f>IF($N$2="old tax regime","30%","20%")</f>
        <v>20%</v>
      </c>
      <c r="N55" s="545"/>
      <c r="O55" s="546"/>
      <c r="P55" s="53" t="s">
        <v>114</v>
      </c>
      <c r="Q55" s="70">
        <f>AA55</f>
        <v>0</v>
      </c>
      <c r="R55" s="580"/>
      <c r="S55" s="211"/>
      <c r="T55" s="263"/>
      <c r="U55" s="263"/>
      <c r="V55" s="493"/>
      <c r="W55" s="93" t="s">
        <v>218</v>
      </c>
      <c r="X55" s="93">
        <f>IF(X54&gt;=7,($Q$48-300000)*0.05,IF(X54=0,0,15000))</f>
        <v>15000</v>
      </c>
      <c r="Y55" s="214">
        <f>IF(Y54&gt;=6,($Q$48-600000)*0.1,IF(Y54=0,0,30000))</f>
        <v>10272</v>
      </c>
      <c r="Z55" s="214">
        <f>IF(Z54&gt;=5,($Q$48-900000)*0.15,IF(Z54=0,0,45000))</f>
        <v>0</v>
      </c>
      <c r="AA55" s="196">
        <f>IF(AA54&gt;=4,ROUND(($Q$48-1200000)*0.2,0),IF(AA54=0,0,60000))</f>
        <v>0</v>
      </c>
      <c r="AB55" s="196">
        <f>IF(OR(AC54&gt;=1,AD54&gt;=1,AB54=0),0,ROUND((Q48-1500000)*0.3,0))</f>
        <v>0</v>
      </c>
      <c r="AC55" s="212">
        <f>IF(OR(AD54&gt;=1,AC54=0),0,ROUND((Q48-1500000)*0.3,0))</f>
        <v>0</v>
      </c>
      <c r="AD55" s="106">
        <f>IF(AD54&gt;=1,ROUND(($Q$48-1500000)*0.3,0),0)</f>
        <v>0</v>
      </c>
      <c r="AE55" s="106">
        <f>IF(Q48&gt;20000000,Y61*0.25,IF(Q48&gt;10000000,Y61*0.15,IF(Q48&gt;5000000,Y61*0.1,0)))</f>
        <v>0</v>
      </c>
      <c r="AH55" s="214">
        <f>SUM(X55:AE55)</f>
        <v>25272</v>
      </c>
      <c r="AI55" s="93"/>
      <c r="AJ55" s="93">
        <f>IF(AND(AI53=1,AJ53&lt;=AH55),AJ53,IF(AND(AI53=2,AK53&lt;=AH58),AK53+1200000,IF(AND(AI53=3,AL53&lt;=AH59),AK53+2970000+AL55,0)))</f>
        <v>2720</v>
      </c>
      <c r="AK55" s="93">
        <f>ROUND(AK53*0.3,0)</f>
        <v>0</v>
      </c>
      <c r="AL55" s="93">
        <f>ROUND(AL53*0.3,0)</f>
        <v>0</v>
      </c>
      <c r="AM55" s="106"/>
      <c r="AN55" s="106"/>
      <c r="AO55" s="106"/>
    </row>
    <row r="56" spans="1:41" ht="12" customHeight="1">
      <c r="A56" s="596"/>
      <c r="B56" s="543"/>
      <c r="C56" s="544" t="str">
        <f t="shared" ref="C56" si="5">IF($N$2="old tax regime","----","15,00,001 अथवा इससे ऊपर")</f>
        <v>15,00,001 अथवा इससे ऊपर</v>
      </c>
      <c r="D56" s="545"/>
      <c r="E56" s="545"/>
      <c r="F56" s="545"/>
      <c r="G56" s="545"/>
      <c r="H56" s="546"/>
      <c r="I56" s="544" t="str">
        <f t="shared" ref="I56" si="6">IF($N$2="old tax regime","----","30%")</f>
        <v>30%</v>
      </c>
      <c r="J56" s="546"/>
      <c r="K56" s="544" t="str">
        <f>IF($N$2="old tax regime","----","30%")</f>
        <v>30%</v>
      </c>
      <c r="L56" s="546"/>
      <c r="M56" s="544" t="str">
        <f>IF($N$2="old tax regime","----","30%")</f>
        <v>30%</v>
      </c>
      <c r="N56" s="545"/>
      <c r="O56" s="546"/>
      <c r="P56" s="53" t="s">
        <v>114</v>
      </c>
      <c r="Q56" s="70">
        <f>SUM(AB55:AD55)</f>
        <v>0</v>
      </c>
      <c r="R56" s="580"/>
      <c r="S56" s="211"/>
      <c r="T56" s="263"/>
      <c r="U56" s="263"/>
      <c r="V56" s="493"/>
      <c r="W56" s="93"/>
      <c r="X56" s="93"/>
      <c r="Y56" s="93"/>
      <c r="Z56" s="93"/>
      <c r="AA56" s="196"/>
      <c r="AB56" s="196"/>
      <c r="AC56" s="212"/>
      <c r="AH56" s="214">
        <f>IF(AH55&lt;25000,0,25000)</f>
        <v>25000</v>
      </c>
      <c r="AI56" s="93"/>
      <c r="AJ56" s="93"/>
      <c r="AK56" s="93"/>
      <c r="AL56" s="106"/>
      <c r="AM56" s="106"/>
      <c r="AN56" s="106"/>
      <c r="AO56" s="106"/>
    </row>
    <row r="57" spans="1:41" ht="14.25" customHeight="1">
      <c r="A57" s="596"/>
      <c r="B57" s="543"/>
      <c r="C57" s="498" t="str">
        <f>IF(Q48&lt;=5000000,"","Marginal Relief से पूर्व अधिभार (Surcharge)")</f>
        <v/>
      </c>
      <c r="D57" s="499"/>
      <c r="E57" s="499"/>
      <c r="F57" s="499"/>
      <c r="G57" s="499"/>
      <c r="H57" s="499"/>
      <c r="I57" s="499"/>
      <c r="J57" s="499"/>
      <c r="K57" s="499"/>
      <c r="L57" s="499"/>
      <c r="M57" s="499"/>
      <c r="N57" s="499"/>
      <c r="O57" s="500"/>
      <c r="P57" s="53" t="str">
        <f>IF(Q48&lt;=5000000,"","Rs.")</f>
        <v/>
      </c>
      <c r="Q57" s="216" t="str">
        <f>IF(Q48&lt;=5000000,"",ROUND(AE55,0))</f>
        <v/>
      </c>
      <c r="R57" s="580"/>
      <c r="S57" s="211"/>
      <c r="T57" s="263"/>
      <c r="U57" s="263"/>
      <c r="V57" s="493"/>
      <c r="W57" s="93"/>
      <c r="X57" s="93"/>
      <c r="Y57" s="93"/>
      <c r="Z57" s="93"/>
      <c r="AA57" s="212"/>
      <c r="AB57" s="212"/>
      <c r="AC57" s="212"/>
      <c r="AD57" s="212"/>
      <c r="AH57" s="214"/>
      <c r="AI57" s="93"/>
      <c r="AJ57" s="93"/>
      <c r="AK57" s="93"/>
      <c r="AL57" s="212"/>
      <c r="AM57" s="212"/>
      <c r="AN57" s="212"/>
      <c r="AO57" s="212"/>
    </row>
    <row r="58" spans="1:41" ht="14.25" customHeight="1">
      <c r="A58" s="596"/>
      <c r="B58" s="543"/>
      <c r="C58" s="494" t="s">
        <v>195</v>
      </c>
      <c r="D58" s="494"/>
      <c r="E58" s="494"/>
      <c r="F58" s="494"/>
      <c r="G58" s="494"/>
      <c r="H58" s="494"/>
      <c r="I58" s="494"/>
      <c r="J58" s="494"/>
      <c r="K58" s="494"/>
      <c r="L58" s="494"/>
      <c r="M58" s="494"/>
      <c r="N58" s="494"/>
      <c r="O58" s="494"/>
      <c r="P58" s="53" t="s">
        <v>114</v>
      </c>
      <c r="Q58" s="72">
        <f>SUM(Q51:Q57)</f>
        <v>25272</v>
      </c>
      <c r="R58" s="580"/>
      <c r="S58" s="211"/>
      <c r="T58" s="263"/>
      <c r="U58" s="263"/>
      <c r="V58" s="493"/>
      <c r="X58" s="108"/>
      <c r="Y58" s="108"/>
      <c r="AH58" s="215">
        <f>IF(AH55&lt;1200000,0,AH55-1200000)</f>
        <v>0</v>
      </c>
      <c r="AI58" s="212"/>
      <c r="AJ58" s="213">
        <f>IF(AND(AJ55&gt;0,AI53=1),AJ55,IF(AND(AJ55&gt;0,AI53=2),AJ55,IF(AND(AJ55&gt;0,AI53=3),AJ55,AH55)))</f>
        <v>2720</v>
      </c>
    </row>
    <row r="59" spans="1:41" ht="14.25" hidden="1" customHeight="1">
      <c r="A59" s="596"/>
      <c r="B59" s="543"/>
      <c r="C59" s="496" t="s">
        <v>257</v>
      </c>
      <c r="D59" s="497"/>
      <c r="E59" s="497"/>
      <c r="F59" s="497"/>
      <c r="G59" s="497"/>
      <c r="H59" s="497"/>
      <c r="I59" s="497"/>
      <c r="J59" s="497"/>
      <c r="K59" s="497"/>
      <c r="L59" s="497"/>
      <c r="M59" s="497"/>
      <c r="N59" s="497"/>
      <c r="O59" s="497"/>
      <c r="P59" s="260" t="s">
        <v>114</v>
      </c>
      <c r="Q59" s="261">
        <f>IF(Q48&lt;=700000,Q58,0)</f>
        <v>0</v>
      </c>
      <c r="R59" s="580"/>
      <c r="S59" s="211"/>
      <c r="T59" s="263"/>
      <c r="U59" s="263"/>
      <c r="V59" s="493"/>
      <c r="AH59" s="215">
        <f>IF(AH55&lt;2970000,0,AH55-2970000)</f>
        <v>0</v>
      </c>
    </row>
    <row r="60" spans="1:41" ht="14.25" hidden="1" customHeight="1">
      <c r="A60" s="596"/>
      <c r="B60" s="543"/>
      <c r="C60" s="496" t="s">
        <v>277</v>
      </c>
      <c r="D60" s="497"/>
      <c r="E60" s="497"/>
      <c r="F60" s="497"/>
      <c r="G60" s="497"/>
      <c r="H60" s="497"/>
      <c r="I60" s="497"/>
      <c r="J60" s="497"/>
      <c r="K60" s="497"/>
      <c r="L60" s="497"/>
      <c r="M60" s="497"/>
      <c r="N60" s="497"/>
      <c r="O60" s="497"/>
      <c r="P60" s="260" t="s">
        <v>114</v>
      </c>
      <c r="Q60" s="261">
        <f>IF(AND(AI53=1,AJ55&gt;0),ROUND(Q58-AJ53,0),IF(AND(AI53=2,AJ55&gt;0),ROUND(AH58-AK53+Q63,0),IF(AND(AI53=3,AJ55&gt;0),ROUND(AH59-AL53+Q63,0),0)))</f>
        <v>22552</v>
      </c>
      <c r="R60" s="580"/>
      <c r="S60" s="211"/>
      <c r="T60" s="263"/>
      <c r="U60" s="263"/>
      <c r="V60" s="493"/>
      <c r="X60" s="212"/>
      <c r="Y60" s="212"/>
      <c r="Z60" s="212"/>
      <c r="AA60" s="212"/>
      <c r="AB60" s="212"/>
      <c r="AC60" s="212"/>
      <c r="AD60" s="212"/>
      <c r="AH60" s="215"/>
    </row>
    <row r="61" spans="1:41" ht="25.5" customHeight="1">
      <c r="A61" s="596"/>
      <c r="B61" s="543"/>
      <c r="C61" s="491" t="s">
        <v>278</v>
      </c>
      <c r="D61" s="492"/>
      <c r="E61" s="492"/>
      <c r="F61" s="492"/>
      <c r="G61" s="492"/>
      <c r="H61" s="492"/>
      <c r="I61" s="492"/>
      <c r="J61" s="492"/>
      <c r="K61" s="492"/>
      <c r="L61" s="492"/>
      <c r="M61" s="492"/>
      <c r="N61" s="492"/>
      <c r="O61" s="492"/>
      <c r="P61" s="53" t="s">
        <v>114</v>
      </c>
      <c r="Q61" s="71">
        <f>SUM(Q59:Q60)</f>
        <v>22552</v>
      </c>
      <c r="R61" s="580"/>
      <c r="S61" s="259"/>
      <c r="T61" s="263"/>
      <c r="U61" s="263"/>
      <c r="V61" s="493"/>
      <c r="X61" s="212"/>
      <c r="Y61" s="212">
        <f>SUM(X55:AD55)</f>
        <v>25272</v>
      </c>
      <c r="Z61" s="212"/>
      <c r="AA61" s="212"/>
      <c r="AB61" s="212"/>
      <c r="AC61" s="212"/>
      <c r="AD61" s="212"/>
      <c r="AH61" s="215"/>
    </row>
    <row r="62" spans="1:41" ht="14.25" customHeight="1">
      <c r="A62" s="596"/>
      <c r="B62" s="543"/>
      <c r="C62" s="494" t="s">
        <v>279</v>
      </c>
      <c r="D62" s="494"/>
      <c r="E62" s="494"/>
      <c r="F62" s="494"/>
      <c r="G62" s="494"/>
      <c r="H62" s="494"/>
      <c r="I62" s="494"/>
      <c r="J62" s="494"/>
      <c r="K62" s="494"/>
      <c r="L62" s="494"/>
      <c r="M62" s="494"/>
      <c r="N62" s="494"/>
      <c r="O62" s="494"/>
      <c r="P62" s="53" t="s">
        <v>114</v>
      </c>
      <c r="Q62" s="72">
        <f>ROUND(Q58-Q61,0)</f>
        <v>2720</v>
      </c>
      <c r="R62" s="580"/>
      <c r="S62" s="211"/>
      <c r="T62" s="263"/>
      <c r="U62" s="263"/>
      <c r="V62" s="493"/>
      <c r="Y62" s="111">
        <f>ROUND(Q47,-1)</f>
        <v>702720</v>
      </c>
    </row>
    <row r="63" spans="1:41" ht="14.25" customHeight="1">
      <c r="A63" s="596"/>
      <c r="B63" s="543"/>
      <c r="C63" s="494" t="s">
        <v>285</v>
      </c>
      <c r="D63" s="494"/>
      <c r="E63" s="494"/>
      <c r="F63" s="494"/>
      <c r="G63" s="494"/>
      <c r="H63" s="494"/>
      <c r="I63" s="494"/>
      <c r="J63" s="494"/>
      <c r="K63" s="494"/>
      <c r="L63" s="494"/>
      <c r="M63" s="494"/>
      <c r="N63" s="494"/>
      <c r="O63" s="494"/>
      <c r="P63" s="53" t="s">
        <v>114</v>
      </c>
      <c r="Q63" s="72">
        <f>AE55</f>
        <v>0</v>
      </c>
      <c r="R63" s="580"/>
      <c r="S63" s="211"/>
      <c r="T63" s="263"/>
      <c r="U63" s="263"/>
      <c r="V63" s="493"/>
      <c r="X63" s="212"/>
      <c r="Y63" s="212"/>
      <c r="Z63" s="212"/>
      <c r="AA63" s="212"/>
      <c r="AB63" s="212"/>
      <c r="AC63" s="212"/>
      <c r="AD63" s="212"/>
    </row>
    <row r="64" spans="1:41" ht="14.25" customHeight="1">
      <c r="A64" s="596"/>
      <c r="B64" s="543"/>
      <c r="C64" s="495" t="s">
        <v>280</v>
      </c>
      <c r="D64" s="495"/>
      <c r="E64" s="495"/>
      <c r="F64" s="495"/>
      <c r="G64" s="495"/>
      <c r="H64" s="495"/>
      <c r="I64" s="495"/>
      <c r="J64" s="495"/>
      <c r="K64" s="495"/>
      <c r="L64" s="495"/>
      <c r="M64" s="495"/>
      <c r="N64" s="495"/>
      <c r="O64" s="495"/>
      <c r="P64" s="53" t="s">
        <v>114</v>
      </c>
      <c r="Q64" s="72">
        <f>SUM(Q62:Q63)</f>
        <v>2720</v>
      </c>
      <c r="R64" s="580"/>
      <c r="S64" s="211"/>
      <c r="T64" s="263"/>
      <c r="U64" s="263"/>
      <c r="V64" s="493"/>
      <c r="X64" s="212"/>
      <c r="Y64" s="212"/>
      <c r="Z64" s="212"/>
      <c r="AA64" s="212"/>
      <c r="AB64" s="212"/>
      <c r="AC64" s="212"/>
      <c r="AD64" s="212"/>
    </row>
    <row r="65" spans="1:30" ht="14.25" customHeight="1">
      <c r="A65" s="596"/>
      <c r="B65" s="543"/>
      <c r="C65" s="535" t="s">
        <v>281</v>
      </c>
      <c r="D65" s="535"/>
      <c r="E65" s="535"/>
      <c r="F65" s="535"/>
      <c r="G65" s="535"/>
      <c r="H65" s="535"/>
      <c r="I65" s="535"/>
      <c r="J65" s="535"/>
      <c r="K65" s="535"/>
      <c r="L65" s="535"/>
      <c r="M65" s="535"/>
      <c r="N65" s="535"/>
      <c r="O65" s="535"/>
      <c r="P65" s="53" t="s">
        <v>114</v>
      </c>
      <c r="Q65" s="71">
        <f>ROUND(Q64*0.04,0)</f>
        <v>109</v>
      </c>
      <c r="R65" s="580"/>
      <c r="S65" s="211"/>
      <c r="T65" s="263"/>
      <c r="U65" s="263"/>
      <c r="V65" s="493"/>
    </row>
    <row r="66" spans="1:30" ht="12.75" customHeight="1">
      <c r="A66" s="596"/>
      <c r="B66" s="543"/>
      <c r="C66" s="536" t="s">
        <v>282</v>
      </c>
      <c r="D66" s="537"/>
      <c r="E66" s="537"/>
      <c r="F66" s="537"/>
      <c r="G66" s="537"/>
      <c r="H66" s="537"/>
      <c r="I66" s="537"/>
      <c r="J66" s="537"/>
      <c r="K66" s="537"/>
      <c r="L66" s="537"/>
      <c r="M66" s="537"/>
      <c r="N66" s="537"/>
      <c r="O66" s="538"/>
      <c r="P66" s="53" t="s">
        <v>114</v>
      </c>
      <c r="Q66" s="72">
        <f>SUM(Q64:Q65)</f>
        <v>2829</v>
      </c>
      <c r="R66" s="580"/>
      <c r="S66" s="211"/>
      <c r="T66" s="263"/>
      <c r="U66" s="263"/>
      <c r="V66" s="493"/>
      <c r="X66" s="108"/>
      <c r="Y66" s="108"/>
    </row>
    <row r="67" spans="1:30" ht="14.25" customHeight="1">
      <c r="A67" s="596"/>
      <c r="B67" s="99">
        <v>17</v>
      </c>
      <c r="C67" s="640" t="s">
        <v>200</v>
      </c>
      <c r="D67" s="640"/>
      <c r="E67" s="640"/>
      <c r="F67" s="640"/>
      <c r="G67" s="640"/>
      <c r="H67" s="640"/>
      <c r="I67" s="640"/>
      <c r="J67" s="640"/>
      <c r="K67" s="640"/>
      <c r="L67" s="640"/>
      <c r="M67" s="640"/>
      <c r="N67" s="640"/>
      <c r="O67" s="640"/>
      <c r="P67" s="641" t="s">
        <v>114</v>
      </c>
      <c r="Q67" s="705">
        <f>'Exemp.(HRA+Other) &amp; Other incom'!Q26</f>
        <v>0</v>
      </c>
      <c r="R67" s="580"/>
      <c r="S67" s="211"/>
      <c r="T67" s="263"/>
      <c r="U67" s="263"/>
      <c r="V67" s="493"/>
    </row>
    <row r="68" spans="1:30" ht="14.25" customHeight="1">
      <c r="A68" s="596"/>
      <c r="B68" s="523">
        <v>18</v>
      </c>
      <c r="C68" s="540" t="s">
        <v>201</v>
      </c>
      <c r="D68" s="540"/>
      <c r="E68" s="540"/>
      <c r="F68" s="540"/>
      <c r="G68" s="540"/>
      <c r="H68" s="540"/>
      <c r="I68" s="540"/>
      <c r="J68" s="540"/>
      <c r="K68" s="540"/>
      <c r="L68" s="540"/>
      <c r="M68" s="540"/>
      <c r="N68" s="540"/>
      <c r="O68" s="540"/>
      <c r="P68" s="53" t="s">
        <v>114</v>
      </c>
      <c r="Q68" s="72">
        <f>Q66-Q67</f>
        <v>2829</v>
      </c>
      <c r="R68" s="580"/>
      <c r="S68" s="211"/>
      <c r="T68" s="263"/>
      <c r="U68" s="263"/>
      <c r="V68" s="493"/>
    </row>
    <row r="69" spans="1:30" ht="14.25" customHeight="1" thickBot="1">
      <c r="A69" s="596"/>
      <c r="B69" s="524"/>
      <c r="C69" s="541" t="s">
        <v>202</v>
      </c>
      <c r="D69" s="541"/>
      <c r="E69" s="541"/>
      <c r="F69" s="541"/>
      <c r="G69" s="541"/>
      <c r="H69" s="541"/>
      <c r="I69" s="541"/>
      <c r="J69" s="541"/>
      <c r="K69" s="541"/>
      <c r="L69" s="541"/>
      <c r="M69" s="541"/>
      <c r="N69" s="541"/>
      <c r="O69" s="541"/>
      <c r="P69" s="57" t="s">
        <v>114</v>
      </c>
      <c r="Q69" s="69">
        <f>ROUND(Q68,-1)</f>
        <v>2830</v>
      </c>
      <c r="R69" s="580"/>
      <c r="S69" s="211"/>
      <c r="T69" s="263"/>
      <c r="U69" s="263"/>
      <c r="V69" s="493"/>
    </row>
    <row r="70" spans="1:30" ht="44.25" customHeight="1">
      <c r="A70" s="596"/>
      <c r="B70" s="522">
        <v>19</v>
      </c>
      <c r="C70" s="525" t="s">
        <v>146</v>
      </c>
      <c r="D70" s="528" t="s">
        <v>203</v>
      </c>
      <c r="E70" s="528"/>
      <c r="F70" s="528" t="s">
        <v>204</v>
      </c>
      <c r="G70" s="528"/>
      <c r="H70" s="528"/>
      <c r="I70" s="101" t="s">
        <v>205</v>
      </c>
      <c r="J70" s="101" t="s">
        <v>206</v>
      </c>
      <c r="K70" s="101" t="s">
        <v>207</v>
      </c>
      <c r="L70" s="101" t="s">
        <v>208</v>
      </c>
      <c r="M70" s="529" t="s">
        <v>209</v>
      </c>
      <c r="N70" s="529"/>
      <c r="O70" s="101" t="s">
        <v>210</v>
      </c>
      <c r="P70" s="530" t="s">
        <v>211</v>
      </c>
      <c r="Q70" s="531"/>
      <c r="R70" s="580"/>
      <c r="S70" s="211"/>
      <c r="T70" s="263"/>
      <c r="U70" s="263"/>
      <c r="V70" s="493"/>
      <c r="Z70" s="111"/>
    </row>
    <row r="71" spans="1:30" s="10" customFormat="1" ht="13.5" customHeight="1">
      <c r="A71" s="596"/>
      <c r="B71" s="523"/>
      <c r="C71" s="526"/>
      <c r="D71" s="532">
        <f>SUM('GA-55'!AA9:AA11)</f>
        <v>0</v>
      </c>
      <c r="E71" s="532"/>
      <c r="F71" s="532">
        <f>SUM('GA-55'!AA12:AA14)</f>
        <v>0</v>
      </c>
      <c r="G71" s="532"/>
      <c r="H71" s="532"/>
      <c r="I71" s="102">
        <f>SUM('GA-55'!AA15:AA17)</f>
        <v>0</v>
      </c>
      <c r="J71" s="102">
        <f>'GA-55'!AA18</f>
        <v>0</v>
      </c>
      <c r="K71" s="102">
        <f>'GA-55'!AA19</f>
        <v>0</v>
      </c>
      <c r="L71" s="102">
        <f>'GA-55'!AA20</f>
        <v>0</v>
      </c>
      <c r="M71" s="532">
        <f>SUM('GA-55'!AA21:AA30)</f>
        <v>0</v>
      </c>
      <c r="N71" s="533"/>
      <c r="O71" s="102">
        <f>'Basic Deta'!N19</f>
        <v>0</v>
      </c>
      <c r="P71" s="89" t="s">
        <v>114</v>
      </c>
      <c r="Q71" s="90">
        <f>SUM(D71:O71)</f>
        <v>0</v>
      </c>
      <c r="R71" s="580"/>
      <c r="S71" s="211"/>
      <c r="T71" s="263"/>
      <c r="U71" s="263"/>
      <c r="V71" s="493"/>
      <c r="X71" s="106"/>
      <c r="Y71" s="106"/>
      <c r="Z71" s="106"/>
      <c r="AA71" s="106"/>
      <c r="AB71" s="106"/>
      <c r="AC71" s="106"/>
      <c r="AD71" s="106"/>
    </row>
    <row r="72" spans="1:30" ht="21" customHeight="1" thickBot="1">
      <c r="A72" s="596"/>
      <c r="B72" s="524"/>
      <c r="C72" s="527"/>
      <c r="D72" s="638" t="s">
        <v>291</v>
      </c>
      <c r="E72" s="534"/>
      <c r="F72" s="534"/>
      <c r="G72" s="534"/>
      <c r="H72" s="534"/>
      <c r="I72" s="534"/>
      <c r="J72" s="534"/>
      <c r="K72" s="534"/>
      <c r="L72" s="519" t="str">
        <f>IF(Q71&gt;Q69,"(Refundable)","(Payble)")</f>
        <v>(Payble)</v>
      </c>
      <c r="M72" s="519"/>
      <c r="N72" s="519"/>
      <c r="O72" s="519"/>
      <c r="P72" s="57" t="s">
        <v>114</v>
      </c>
      <c r="Q72" s="69">
        <f>Q71-Q69</f>
        <v>-2830</v>
      </c>
      <c r="R72" s="580"/>
      <c r="S72" s="211"/>
      <c r="T72" s="263"/>
      <c r="U72" s="263"/>
      <c r="V72" s="493"/>
    </row>
    <row r="73" spans="1:30" ht="9.75" customHeight="1">
      <c r="A73" s="596"/>
      <c r="B73" s="520" t="str">
        <f>'GA-55'!B32</f>
        <v>Siganture of Employee()</v>
      </c>
      <c r="C73" s="520"/>
      <c r="D73" s="520"/>
      <c r="E73" s="520"/>
      <c r="F73" s="520"/>
      <c r="G73" s="520"/>
      <c r="H73" s="520"/>
      <c r="I73" s="520"/>
      <c r="J73" s="520"/>
      <c r="K73" s="520" t="str">
        <f>'GA-55'!P32</f>
        <v>Signature of DDO ()</v>
      </c>
      <c r="L73" s="520"/>
      <c r="M73" s="520"/>
      <c r="N73" s="520"/>
      <c r="O73" s="520"/>
      <c r="P73" s="520"/>
      <c r="Q73" s="520"/>
      <c r="R73" s="580"/>
      <c r="S73" s="211"/>
      <c r="T73" s="263"/>
      <c r="U73" s="263"/>
      <c r="V73" s="493"/>
    </row>
    <row r="74" spans="1:30" ht="29.25" customHeight="1">
      <c r="A74" s="596"/>
      <c r="B74" s="521"/>
      <c r="C74" s="521"/>
      <c r="D74" s="521"/>
      <c r="E74" s="521"/>
      <c r="F74" s="521"/>
      <c r="G74" s="521"/>
      <c r="H74" s="521"/>
      <c r="I74" s="521"/>
      <c r="J74" s="521"/>
      <c r="K74" s="521"/>
      <c r="L74" s="521"/>
      <c r="M74" s="521"/>
      <c r="N74" s="521"/>
      <c r="O74" s="521"/>
      <c r="P74" s="521"/>
      <c r="Q74" s="521"/>
      <c r="R74" s="580"/>
      <c r="S74" s="211"/>
      <c r="T74" s="263"/>
      <c r="U74" s="263"/>
      <c r="V74" s="493"/>
    </row>
    <row r="75" spans="1:30" ht="4.5" customHeight="1">
      <c r="T75" s="263"/>
      <c r="U75" s="263"/>
      <c r="V75" s="493"/>
    </row>
  </sheetData>
  <sheetProtection password="E8FA" sheet="1" objects="1" scenarios="1" formatCells="0" formatColumns="0" selectLockedCells="1"/>
  <mergeCells count="159">
    <mergeCell ref="B11:B13"/>
    <mergeCell ref="C11:J11"/>
    <mergeCell ref="K11:L11"/>
    <mergeCell ref="M11:O11"/>
    <mergeCell ref="P11:Q13"/>
    <mergeCell ref="K56:L56"/>
    <mergeCell ref="M56:O56"/>
    <mergeCell ref="A1:A74"/>
    <mergeCell ref="B1:Q1"/>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B7:B9"/>
    <mergeCell ref="C7:L7"/>
    <mergeCell ref="M7:O7"/>
    <mergeCell ref="P7:Q8"/>
    <mergeCell ref="C8:L8"/>
    <mergeCell ref="M8:O8"/>
    <mergeCell ref="C9:L9"/>
    <mergeCell ref="M9:O9"/>
    <mergeCell ref="C10:O10"/>
    <mergeCell ref="R1:R74"/>
    <mergeCell ref="N2:Q2"/>
    <mergeCell ref="C3:D3"/>
    <mergeCell ref="E3:J3"/>
    <mergeCell ref="L3:N3"/>
    <mergeCell ref="P3:Q3"/>
    <mergeCell ref="C4:O4"/>
    <mergeCell ref="C5:O5"/>
    <mergeCell ref="C6:O6"/>
    <mergeCell ref="C14:O14"/>
    <mergeCell ref="D25:G25"/>
    <mergeCell ref="K25:M25"/>
    <mergeCell ref="D26:G26"/>
    <mergeCell ref="K26:M26"/>
    <mergeCell ref="C37:O38"/>
    <mergeCell ref="P37:P38"/>
    <mergeCell ref="Q37:Q38"/>
    <mergeCell ref="C39:O40"/>
    <mergeCell ref="P39:P40"/>
    <mergeCell ref="Q39:Q40"/>
    <mergeCell ref="C41:O42"/>
    <mergeCell ref="P41:P42"/>
    <mergeCell ref="Q41:Q42"/>
    <mergeCell ref="C43:O44"/>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45:O45"/>
    <mergeCell ref="P43:P44"/>
    <mergeCell ref="Q43:Q44"/>
    <mergeCell ref="C56:H56"/>
    <mergeCell ref="I56:J56"/>
    <mergeCell ref="C46:O46"/>
    <mergeCell ref="C47:O47"/>
    <mergeCell ref="C48:O48"/>
    <mergeCell ref="C49:Q49"/>
    <mergeCell ref="C50:H50"/>
    <mergeCell ref="I50:J50"/>
    <mergeCell ref="K50:L50"/>
    <mergeCell ref="M50:O50"/>
    <mergeCell ref="C51:H51"/>
    <mergeCell ref="I51:J51"/>
    <mergeCell ref="K51:L51"/>
    <mergeCell ref="M51:O51"/>
    <mergeCell ref="C66:O66"/>
    <mergeCell ref="C67:O67"/>
    <mergeCell ref="B68:B69"/>
    <mergeCell ref="C68:O68"/>
    <mergeCell ref="C69:O69"/>
    <mergeCell ref="C58:O58"/>
    <mergeCell ref="C59:O59"/>
    <mergeCell ref="B49:B66"/>
    <mergeCell ref="C52:H52"/>
    <mergeCell ref="I52:J52"/>
    <mergeCell ref="K52:L52"/>
    <mergeCell ref="M52:O52"/>
    <mergeCell ref="C53:H53"/>
    <mergeCell ref="I53:J53"/>
    <mergeCell ref="K53:L53"/>
    <mergeCell ref="M53:O53"/>
    <mergeCell ref="C54:H54"/>
    <mergeCell ref="I54:J54"/>
    <mergeCell ref="K54:L54"/>
    <mergeCell ref="M54:O54"/>
    <mergeCell ref="C55:H55"/>
    <mergeCell ref="I55:J55"/>
    <mergeCell ref="K55:L55"/>
    <mergeCell ref="M55:O55"/>
    <mergeCell ref="X8:Z10"/>
    <mergeCell ref="X12:Z14"/>
    <mergeCell ref="T16:U75"/>
    <mergeCell ref="T2:U7"/>
    <mergeCell ref="T8:T10"/>
    <mergeCell ref="T12:T14"/>
    <mergeCell ref="U8:U10"/>
    <mergeCell ref="U12:U14"/>
    <mergeCell ref="S8:S10"/>
    <mergeCell ref="S12:S14"/>
    <mergeCell ref="T15:U15"/>
    <mergeCell ref="B2:J2"/>
    <mergeCell ref="K2:M2"/>
    <mergeCell ref="C61:O61"/>
    <mergeCell ref="T1:U1"/>
    <mergeCell ref="V1:V75"/>
    <mergeCell ref="C63:O63"/>
    <mergeCell ref="C64:O64"/>
    <mergeCell ref="C60:O60"/>
    <mergeCell ref="C57:O57"/>
    <mergeCell ref="L72:O72"/>
    <mergeCell ref="B73:J74"/>
    <mergeCell ref="K73:Q74"/>
    <mergeCell ref="B70:B72"/>
    <mergeCell ref="C70:C72"/>
    <mergeCell ref="D70:E70"/>
    <mergeCell ref="F70:H70"/>
    <mergeCell ref="M70:N70"/>
    <mergeCell ref="P70:Q70"/>
    <mergeCell ref="D71:E71"/>
    <mergeCell ref="F71:H71"/>
    <mergeCell ref="M71:N71"/>
    <mergeCell ref="D72:K72"/>
    <mergeCell ref="C62:O62"/>
    <mergeCell ref="C65:O65"/>
  </mergeCells>
  <conditionalFormatting sqref="L72:O72">
    <cfRule type="cellIs" dxfId="22" priority="12" operator="equal">
      <formula>"(Payble)"</formula>
    </cfRule>
    <cfRule type="cellIs" dxfId="21" priority="13" operator="equal">
      <formula>"(Refundable)"</formula>
    </cfRule>
  </conditionalFormatting>
  <conditionalFormatting sqref="Q72">
    <cfRule type="cellIs" dxfId="20" priority="10" operator="lessThan">
      <formula>0</formula>
    </cfRule>
    <cfRule type="cellIs" dxfId="19" priority="11" operator="greaterThan">
      <formula>0</formula>
    </cfRule>
  </conditionalFormatting>
  <conditionalFormatting sqref="P55:P57">
    <cfRule type="expression" dxfId="18" priority="9">
      <formula>$C55="----"</formula>
    </cfRule>
  </conditionalFormatting>
  <conditionalFormatting sqref="S8:U14">
    <cfRule type="expression" dxfId="17" priority="1">
      <formula>$S8="n"</formula>
    </cfRule>
    <cfRule type="expression" dxfId="16" priority="2">
      <formula>$S8="y"</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1" orientation="portrait" r:id="rId1"/>
</worksheet>
</file>

<file path=xl/worksheets/sheet6.xml><?xml version="1.0" encoding="utf-8"?>
<worksheet xmlns="http://schemas.openxmlformats.org/spreadsheetml/2006/main" xmlns:r="http://schemas.openxmlformats.org/officeDocument/2006/relationships">
  <sheetPr>
    <tabColor rgb="FF002060"/>
  </sheetPr>
  <dimension ref="A1:XFD73"/>
  <sheetViews>
    <sheetView showGridLines="0" workbookViewId="0">
      <selection activeCell="K31" sqref="K31:M31"/>
    </sheetView>
  </sheetViews>
  <sheetFormatPr defaultColWidth="0" defaultRowHeight="22.5"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12" width="13" style="18" customWidth="1"/>
    <col min="13" max="13" width="9.140625" style="18" customWidth="1"/>
    <col min="14" max="14" width="4.140625" style="18" customWidth="1"/>
    <col min="15" max="15" width="10.7109375" style="18" customWidth="1"/>
    <col min="16" max="16" width="3" style="18" customWidth="1"/>
    <col min="17" max="17" width="16.140625" style="18" customWidth="1"/>
    <col min="18" max="18" width="2.42578125" style="18" customWidth="1"/>
    <col min="19" max="19" width="6" style="18" hidden="1" customWidth="1"/>
    <col min="20" max="22" width="8.28515625" style="93" customWidth="1"/>
    <col min="23" max="23" width="1.140625" style="93" customWidth="1"/>
    <col min="24" max="25" width="12.85546875" style="93" customWidth="1"/>
    <col min="26" max="26" width="4.42578125" style="93" customWidth="1"/>
    <col min="27" max="27" width="3.5703125" style="703" customWidth="1"/>
    <col min="28" max="30" width="7.140625" style="106" hidden="1"/>
    <col min="31" max="33" width="7.140625" style="1" hidden="1"/>
    <col min="34" max="37" width="16.7109375" style="1" hidden="1"/>
    <col min="38" max="16383" width="7.140625" style="1" hidden="1"/>
    <col min="16384" max="16384" width="1.85546875" style="1" hidden="1"/>
  </cols>
  <sheetData>
    <row r="1" spans="1:30" ht="21" customHeight="1" thickBot="1">
      <c r="A1" s="596"/>
      <c r="B1" s="597" t="str">
        <f>'Exemp.(HRA+Other) &amp; Other incom'!A1</f>
        <v>Office: Govt. Sr. School Raimalwada (DDO Code :-12345)</v>
      </c>
      <c r="C1" s="598"/>
      <c r="D1" s="598"/>
      <c r="E1" s="598"/>
      <c r="F1" s="598"/>
      <c r="G1" s="598"/>
      <c r="H1" s="598"/>
      <c r="I1" s="598"/>
      <c r="J1" s="598"/>
      <c r="K1" s="598"/>
      <c r="L1" s="598"/>
      <c r="M1" s="598"/>
      <c r="N1" s="598"/>
      <c r="O1" s="598"/>
      <c r="P1" s="598"/>
      <c r="Q1" s="599"/>
      <c r="R1" s="580"/>
      <c r="S1" s="97"/>
      <c r="T1" s="620"/>
      <c r="U1" s="620"/>
      <c r="V1" s="620"/>
      <c r="W1" s="620"/>
      <c r="X1" s="620"/>
      <c r="Y1" s="620"/>
      <c r="Z1" s="620"/>
    </row>
    <row r="2" spans="1:30" ht="21" customHeight="1" thickBot="1">
      <c r="A2" s="596"/>
      <c r="B2" s="487" t="str">
        <f>CONCATENATE("Income Tax Calculation F.Y.",":-", 'Basic Deta'!Q6)</f>
        <v>Income Tax Calculation F.Y.:-2023-24</v>
      </c>
      <c r="C2" s="488"/>
      <c r="D2" s="488"/>
      <c r="E2" s="488"/>
      <c r="F2" s="488"/>
      <c r="G2" s="488"/>
      <c r="H2" s="488"/>
      <c r="I2" s="488"/>
      <c r="J2" s="488"/>
      <c r="K2" s="489" t="str">
        <f>CONCATENATE("(","A.Y.",":-",AC4,")")</f>
        <v>(A.Y.:-2024-25)</v>
      </c>
      <c r="L2" s="489"/>
      <c r="M2" s="490"/>
      <c r="N2" s="581" t="s">
        <v>220</v>
      </c>
      <c r="O2" s="582"/>
      <c r="P2" s="582"/>
      <c r="Q2" s="583"/>
      <c r="R2" s="580"/>
      <c r="S2" s="97"/>
      <c r="T2" s="624" t="s">
        <v>228</v>
      </c>
      <c r="U2" s="625"/>
      <c r="V2" s="625"/>
      <c r="W2" s="625"/>
      <c r="X2" s="625"/>
      <c r="Y2" s="625"/>
      <c r="Z2" s="626"/>
      <c r="AC2" s="106">
        <f>YEAR('GA-55'!C9)</f>
        <v>2023</v>
      </c>
      <c r="AD2" s="106">
        <f>AC2+1</f>
        <v>2024</v>
      </c>
    </row>
    <row r="3" spans="1:30" s="92" customFormat="1" ht="16.5" customHeight="1" thickBot="1">
      <c r="A3" s="596"/>
      <c r="B3" s="86">
        <v>1</v>
      </c>
      <c r="C3" s="584" t="s">
        <v>144</v>
      </c>
      <c r="D3" s="584"/>
      <c r="E3" s="585">
        <f>'GA-55'!F3</f>
        <v>0</v>
      </c>
      <c r="F3" s="585"/>
      <c r="G3" s="585"/>
      <c r="H3" s="585"/>
      <c r="I3" s="585"/>
      <c r="J3" s="585"/>
      <c r="K3" s="87" t="s">
        <v>145</v>
      </c>
      <c r="L3" s="586">
        <f>'GA-55'!P3</f>
        <v>0</v>
      </c>
      <c r="M3" s="586"/>
      <c r="N3" s="586"/>
      <c r="O3" s="88" t="s">
        <v>75</v>
      </c>
      <c r="P3" s="587">
        <f>'GA-55'!F5</f>
        <v>0</v>
      </c>
      <c r="Q3" s="588"/>
      <c r="R3" s="580"/>
      <c r="S3" s="97"/>
      <c r="T3" s="627"/>
      <c r="U3" s="628"/>
      <c r="V3" s="628"/>
      <c r="W3" s="628"/>
      <c r="X3" s="628"/>
      <c r="Y3" s="628"/>
      <c r="Z3" s="629"/>
      <c r="AA3" s="703"/>
      <c r="AB3" s="91"/>
      <c r="AC3" s="91">
        <f>YEAR('GA-55'!C19)</f>
        <v>2024</v>
      </c>
      <c r="AD3" s="91">
        <f>AC3+1-2000</f>
        <v>25</v>
      </c>
    </row>
    <row r="4" spans="1:30" ht="14.25" customHeight="1">
      <c r="A4" s="596"/>
      <c r="B4" s="98">
        <v>2</v>
      </c>
      <c r="C4" s="589" t="s">
        <v>147</v>
      </c>
      <c r="D4" s="589"/>
      <c r="E4" s="589"/>
      <c r="F4" s="589"/>
      <c r="G4" s="589"/>
      <c r="H4" s="589"/>
      <c r="I4" s="589"/>
      <c r="J4" s="589"/>
      <c r="K4" s="589"/>
      <c r="L4" s="589"/>
      <c r="M4" s="589"/>
      <c r="N4" s="589"/>
      <c r="O4" s="589"/>
      <c r="P4" s="61" t="s">
        <v>114</v>
      </c>
      <c r="Q4" s="85">
        <f>'GA-55'!O31</f>
        <v>752717</v>
      </c>
      <c r="R4" s="580"/>
      <c r="S4" s="97"/>
      <c r="T4" s="627"/>
      <c r="U4" s="628"/>
      <c r="V4" s="628"/>
      <c r="W4" s="628"/>
      <c r="X4" s="628"/>
      <c r="Y4" s="628"/>
      <c r="Z4" s="629"/>
      <c r="AC4" s="106" t="str">
        <f>CONCATENATE(AD2,"-",AD3)</f>
        <v>2024-25</v>
      </c>
    </row>
    <row r="5" spans="1:30" ht="14.25" customHeight="1">
      <c r="A5" s="596"/>
      <c r="B5" s="99">
        <v>3</v>
      </c>
      <c r="C5" s="539" t="s">
        <v>154</v>
      </c>
      <c r="D5" s="539"/>
      <c r="E5" s="539"/>
      <c r="F5" s="539"/>
      <c r="G5" s="539"/>
      <c r="H5" s="539"/>
      <c r="I5" s="539"/>
      <c r="J5" s="539"/>
      <c r="K5" s="539"/>
      <c r="L5" s="539"/>
      <c r="M5" s="539"/>
      <c r="N5" s="539"/>
      <c r="O5" s="539"/>
      <c r="P5" s="53" t="s">
        <v>114</v>
      </c>
      <c r="Q5" s="73">
        <f>IF(N2="old tax regime",'Exemp.(HRA+Other) &amp; Other incom'!K4,0)</f>
        <v>41832</v>
      </c>
      <c r="R5" s="580"/>
      <c r="S5" s="97"/>
      <c r="T5" s="627"/>
      <c r="U5" s="628"/>
      <c r="V5" s="628"/>
      <c r="W5" s="628"/>
      <c r="X5" s="628"/>
      <c r="Y5" s="628"/>
      <c r="Z5" s="629"/>
    </row>
    <row r="6" spans="1:30" ht="14.25" customHeight="1">
      <c r="A6" s="596"/>
      <c r="B6" s="99">
        <v>4</v>
      </c>
      <c r="C6" s="590" t="s">
        <v>148</v>
      </c>
      <c r="D6" s="590"/>
      <c r="E6" s="590"/>
      <c r="F6" s="590"/>
      <c r="G6" s="590"/>
      <c r="H6" s="590"/>
      <c r="I6" s="590"/>
      <c r="J6" s="590"/>
      <c r="K6" s="590"/>
      <c r="L6" s="590"/>
      <c r="M6" s="590"/>
      <c r="N6" s="590"/>
      <c r="O6" s="590"/>
      <c r="P6" s="53" t="s">
        <v>114</v>
      </c>
      <c r="Q6" s="78">
        <f>Q4-Q5</f>
        <v>710885</v>
      </c>
      <c r="R6" s="580"/>
      <c r="S6" s="97"/>
      <c r="T6" s="627"/>
      <c r="U6" s="628"/>
      <c r="V6" s="628"/>
      <c r="W6" s="628"/>
      <c r="X6" s="628"/>
      <c r="Y6" s="628"/>
      <c r="Z6" s="629"/>
    </row>
    <row r="7" spans="1:30" ht="14.25" customHeight="1" thickBot="1">
      <c r="A7" s="596"/>
      <c r="B7" s="543">
        <v>5</v>
      </c>
      <c r="C7" s="539" t="s">
        <v>150</v>
      </c>
      <c r="D7" s="539"/>
      <c r="E7" s="539"/>
      <c r="F7" s="539"/>
      <c r="G7" s="539"/>
      <c r="H7" s="539"/>
      <c r="I7" s="539"/>
      <c r="J7" s="539"/>
      <c r="K7" s="539"/>
      <c r="L7" s="539"/>
      <c r="M7" s="591">
        <f>'Exemp.(HRA+Other) &amp; Other incom'!L13</f>
        <v>0</v>
      </c>
      <c r="N7" s="591"/>
      <c r="O7" s="591"/>
      <c r="P7" s="592"/>
      <c r="Q7" s="593"/>
      <c r="R7" s="580"/>
      <c r="S7" s="97"/>
      <c r="T7" s="630"/>
      <c r="U7" s="631"/>
      <c r="V7" s="631"/>
      <c r="W7" s="631"/>
      <c r="X7" s="631"/>
      <c r="Y7" s="631"/>
      <c r="Z7" s="632"/>
    </row>
    <row r="8" spans="1:30" ht="14.25" customHeight="1">
      <c r="A8" s="596"/>
      <c r="B8" s="543"/>
      <c r="C8" s="539" t="s">
        <v>151</v>
      </c>
      <c r="D8" s="539"/>
      <c r="E8" s="539"/>
      <c r="F8" s="539"/>
      <c r="G8" s="539"/>
      <c r="H8" s="539"/>
      <c r="I8" s="539"/>
      <c r="J8" s="539"/>
      <c r="K8" s="539"/>
      <c r="L8" s="539"/>
      <c r="M8" s="591">
        <f>'Exemp.(HRA+Other) &amp; Other incom'!L14</f>
        <v>0</v>
      </c>
      <c r="N8" s="591"/>
      <c r="O8" s="591"/>
      <c r="P8" s="592"/>
      <c r="Q8" s="593"/>
      <c r="R8" s="580"/>
      <c r="S8" s="610">
        <f>X8-X12</f>
        <v>20980</v>
      </c>
      <c r="T8" s="508" t="s">
        <v>229</v>
      </c>
      <c r="U8" s="611"/>
      <c r="V8" s="611"/>
      <c r="W8" s="611"/>
      <c r="X8" s="613">
        <f>'OLD REGIME'!Q64</f>
        <v>23810</v>
      </c>
      <c r="Y8" s="613"/>
      <c r="Z8" s="614"/>
    </row>
    <row r="9" spans="1:30" ht="14.25" customHeight="1">
      <c r="A9" s="596"/>
      <c r="B9" s="543"/>
      <c r="C9" s="539" t="s">
        <v>152</v>
      </c>
      <c r="D9" s="539"/>
      <c r="E9" s="539"/>
      <c r="F9" s="539"/>
      <c r="G9" s="539"/>
      <c r="H9" s="539"/>
      <c r="I9" s="539"/>
      <c r="J9" s="539"/>
      <c r="K9" s="539"/>
      <c r="L9" s="539"/>
      <c r="M9" s="591">
        <v>50000</v>
      </c>
      <c r="N9" s="591"/>
      <c r="O9" s="591"/>
      <c r="P9" s="53" t="s">
        <v>114</v>
      </c>
      <c r="Q9" s="73">
        <f>M7+M8+M9</f>
        <v>50000</v>
      </c>
      <c r="R9" s="580"/>
      <c r="S9" s="580"/>
      <c r="T9" s="509"/>
      <c r="U9" s="612"/>
      <c r="V9" s="612"/>
      <c r="W9" s="612"/>
      <c r="X9" s="615"/>
      <c r="Y9" s="615"/>
      <c r="Z9" s="616"/>
    </row>
    <row r="10" spans="1:30" ht="14.25" customHeight="1">
      <c r="A10" s="596"/>
      <c r="B10" s="99">
        <v>6</v>
      </c>
      <c r="C10" s="590" t="s">
        <v>153</v>
      </c>
      <c r="D10" s="590"/>
      <c r="E10" s="590"/>
      <c r="F10" s="590"/>
      <c r="G10" s="590"/>
      <c r="H10" s="590"/>
      <c r="I10" s="590"/>
      <c r="J10" s="590"/>
      <c r="K10" s="590"/>
      <c r="L10" s="590"/>
      <c r="M10" s="590"/>
      <c r="N10" s="590"/>
      <c r="O10" s="590"/>
      <c r="P10" s="53" t="s">
        <v>114</v>
      </c>
      <c r="Q10" s="78">
        <f>Q6-Q9</f>
        <v>660885</v>
      </c>
      <c r="R10" s="580"/>
      <c r="S10" s="580"/>
      <c r="T10" s="509"/>
      <c r="U10" s="612"/>
      <c r="V10" s="612"/>
      <c r="W10" s="612"/>
      <c r="X10" s="615"/>
      <c r="Y10" s="615"/>
      <c r="Z10" s="616"/>
    </row>
    <row r="11" spans="1:30" ht="14.25" customHeight="1">
      <c r="A11" s="596"/>
      <c r="B11" s="543">
        <v>7</v>
      </c>
      <c r="C11" s="539" t="s">
        <v>155</v>
      </c>
      <c r="D11" s="539"/>
      <c r="E11" s="539"/>
      <c r="F11" s="539"/>
      <c r="G11" s="539"/>
      <c r="H11" s="539"/>
      <c r="I11" s="539"/>
      <c r="J11" s="539"/>
      <c r="K11" s="594" t="s">
        <v>156</v>
      </c>
      <c r="L11" s="594"/>
      <c r="M11" s="591">
        <f>'Exemp.(HRA+Other) &amp; Other incom'!L7</f>
        <v>0</v>
      </c>
      <c r="N11" s="591"/>
      <c r="O11" s="591"/>
      <c r="P11" s="594"/>
      <c r="Q11" s="595"/>
      <c r="R11" s="580"/>
      <c r="S11" s="97"/>
      <c r="T11" s="617"/>
      <c r="U11" s="618"/>
      <c r="V11" s="618"/>
      <c r="W11" s="618"/>
      <c r="X11" s="618"/>
      <c r="Y11" s="618"/>
      <c r="Z11" s="619"/>
    </row>
    <row r="12" spans="1:30" ht="14.25" customHeight="1">
      <c r="A12" s="596"/>
      <c r="B12" s="543"/>
      <c r="C12" s="579" t="s">
        <v>157</v>
      </c>
      <c r="D12" s="579"/>
      <c r="E12" s="594" t="s">
        <v>158</v>
      </c>
      <c r="F12" s="594"/>
      <c r="G12" s="594"/>
      <c r="H12" s="600" t="s">
        <v>159</v>
      </c>
      <c r="I12" s="600"/>
      <c r="J12" s="600"/>
      <c r="K12" s="594" t="s">
        <v>115</v>
      </c>
      <c r="L12" s="594"/>
      <c r="M12" s="605" t="s">
        <v>160</v>
      </c>
      <c r="N12" s="605"/>
      <c r="O12" s="605"/>
      <c r="P12" s="594"/>
      <c r="Q12" s="595"/>
      <c r="R12" s="580"/>
      <c r="S12" s="610">
        <f>X12-X8</f>
        <v>-20980</v>
      </c>
      <c r="T12" s="509" t="s">
        <v>230</v>
      </c>
      <c r="U12" s="612"/>
      <c r="V12" s="612"/>
      <c r="W12" s="612"/>
      <c r="X12" s="615">
        <f>'New Regime Calc. Report'!Q69</f>
        <v>2830</v>
      </c>
      <c r="Y12" s="615"/>
      <c r="Z12" s="616"/>
    </row>
    <row r="13" spans="1:30" ht="14.25" customHeight="1">
      <c r="A13" s="596"/>
      <c r="B13" s="543"/>
      <c r="C13" s="579"/>
      <c r="D13" s="579"/>
      <c r="E13" s="591">
        <f>IF(N2="old tax regime",ROUND(M11*0.3,0),0)</f>
        <v>0</v>
      </c>
      <c r="F13" s="591"/>
      <c r="G13" s="591"/>
      <c r="H13" s="591">
        <f>IF(N2="old tax regime",'Exemp.(HRA+Other) &amp; Other incom'!L17,0)</f>
        <v>0</v>
      </c>
      <c r="I13" s="591"/>
      <c r="J13" s="591"/>
      <c r="K13" s="591">
        <f>IF(N2="old tax regime",'Exemp.(HRA+Other) &amp; Other incom'!L15,0)</f>
        <v>0</v>
      </c>
      <c r="L13" s="591"/>
      <c r="M13" s="606">
        <f>E13+H13+K13</f>
        <v>0</v>
      </c>
      <c r="N13" s="606"/>
      <c r="O13" s="606"/>
      <c r="P13" s="594"/>
      <c r="Q13" s="595"/>
      <c r="R13" s="580"/>
      <c r="S13" s="580"/>
      <c r="T13" s="509"/>
      <c r="U13" s="612"/>
      <c r="V13" s="612"/>
      <c r="W13" s="612"/>
      <c r="X13" s="615"/>
      <c r="Y13" s="615"/>
      <c r="Z13" s="616"/>
    </row>
    <row r="14" spans="1:30" ht="18" customHeight="1">
      <c r="A14" s="596"/>
      <c r="B14" s="99"/>
      <c r="C14" s="607" t="s">
        <v>162</v>
      </c>
      <c r="D14" s="499"/>
      <c r="E14" s="499"/>
      <c r="F14" s="499"/>
      <c r="G14" s="499"/>
      <c r="H14" s="499"/>
      <c r="I14" s="499"/>
      <c r="J14" s="499"/>
      <c r="K14" s="499"/>
      <c r="L14" s="499"/>
      <c r="M14" s="499"/>
      <c r="N14" s="499"/>
      <c r="O14" s="500"/>
      <c r="P14" s="53" t="s">
        <v>114</v>
      </c>
      <c r="Q14" s="73">
        <f>M11-M13</f>
        <v>0</v>
      </c>
      <c r="R14" s="580"/>
      <c r="S14" s="580"/>
      <c r="T14" s="509"/>
      <c r="U14" s="612"/>
      <c r="V14" s="612"/>
      <c r="W14" s="612"/>
      <c r="X14" s="615"/>
      <c r="Y14" s="615"/>
      <c r="Z14" s="616"/>
    </row>
    <row r="15" spans="1:30" ht="15" customHeight="1" thickBot="1">
      <c r="A15" s="596"/>
      <c r="B15" s="99">
        <v>8</v>
      </c>
      <c r="C15" s="498" t="s">
        <v>161</v>
      </c>
      <c r="D15" s="601"/>
      <c r="E15" s="601"/>
      <c r="F15" s="601"/>
      <c r="G15" s="601"/>
      <c r="H15" s="601"/>
      <c r="I15" s="601"/>
      <c r="J15" s="601"/>
      <c r="K15" s="601"/>
      <c r="L15" s="601"/>
      <c r="M15" s="601"/>
      <c r="N15" s="601"/>
      <c r="O15" s="602"/>
      <c r="P15" s="53" t="s">
        <v>114</v>
      </c>
      <c r="Q15" s="78">
        <f>Q10+Q14</f>
        <v>660885</v>
      </c>
      <c r="R15" s="580"/>
      <c r="S15" s="97"/>
      <c r="T15" s="621"/>
      <c r="U15" s="622"/>
      <c r="V15" s="622"/>
      <c r="W15" s="622"/>
      <c r="X15" s="622"/>
      <c r="Y15" s="622"/>
      <c r="Z15" s="623"/>
    </row>
    <row r="16" spans="1:30" ht="15" customHeight="1">
      <c r="A16" s="596"/>
      <c r="B16" s="523">
        <v>9</v>
      </c>
      <c r="C16" s="603" t="s">
        <v>142</v>
      </c>
      <c r="D16" s="104" t="s">
        <v>105</v>
      </c>
      <c r="E16" s="604" t="str">
        <f>'Exemp.(HRA+Other) &amp; Other incom'!B8</f>
        <v>अन्य आय (बैंक/एफडी में जमा ब्याज/अन्य ब्याज आदि का योग</v>
      </c>
      <c r="F16" s="539"/>
      <c r="G16" s="539"/>
      <c r="H16" s="539"/>
      <c r="I16" s="539"/>
      <c r="J16" s="539"/>
      <c r="K16" s="539"/>
      <c r="L16" s="539"/>
      <c r="M16" s="539"/>
      <c r="N16" s="539"/>
      <c r="O16" s="539"/>
      <c r="P16" s="53" t="s">
        <v>114</v>
      </c>
      <c r="Q16" s="73">
        <f>'Exemp.(HRA+Other) &amp; Other incom'!L8</f>
        <v>0</v>
      </c>
      <c r="R16" s="580"/>
      <c r="S16" s="97"/>
      <c r="T16" s="633"/>
      <c r="U16" s="633"/>
      <c r="V16" s="633"/>
      <c r="W16" s="633"/>
      <c r="X16" s="633"/>
      <c r="Y16" s="633"/>
      <c r="Z16" s="633"/>
    </row>
    <row r="17" spans="1:26" ht="15" customHeight="1">
      <c r="A17" s="596"/>
      <c r="B17" s="523"/>
      <c r="C17" s="603"/>
      <c r="D17" s="104" t="s">
        <v>106</v>
      </c>
      <c r="E17" s="604" t="str">
        <f>'Exemp.(HRA+Other) &amp; Other incom'!C9</f>
        <v>(-----------------------------------------------------)</v>
      </c>
      <c r="F17" s="539"/>
      <c r="G17" s="539"/>
      <c r="H17" s="539"/>
      <c r="I17" s="539"/>
      <c r="J17" s="539"/>
      <c r="K17" s="539"/>
      <c r="L17" s="539"/>
      <c r="M17" s="539"/>
      <c r="N17" s="539"/>
      <c r="O17" s="539"/>
      <c r="P17" s="66"/>
      <c r="Q17" s="73">
        <f>'Exemp.(HRA+Other) &amp; Other incom'!L9</f>
        <v>0</v>
      </c>
      <c r="R17" s="580"/>
      <c r="S17" s="97"/>
      <c r="T17" s="633"/>
      <c r="U17" s="633"/>
      <c r="V17" s="633"/>
      <c r="W17" s="633"/>
      <c r="X17" s="633"/>
      <c r="Y17" s="633"/>
      <c r="Z17" s="633"/>
    </row>
    <row r="18" spans="1:26" ht="15" customHeight="1">
      <c r="A18" s="596"/>
      <c r="B18" s="523"/>
      <c r="C18" s="603"/>
      <c r="D18" s="104" t="s">
        <v>107</v>
      </c>
      <c r="E18" s="604" t="str">
        <f>'Exemp.(HRA+Other) &amp; Other incom'!C10</f>
        <v>(-----------------------------------------------------)</v>
      </c>
      <c r="F18" s="539"/>
      <c r="G18" s="539"/>
      <c r="H18" s="539"/>
      <c r="I18" s="539"/>
      <c r="J18" s="539"/>
      <c r="K18" s="539"/>
      <c r="L18" s="539"/>
      <c r="M18" s="539"/>
      <c r="N18" s="539"/>
      <c r="O18" s="539"/>
      <c r="P18" s="66"/>
      <c r="Q18" s="73">
        <f>'Exemp.(HRA+Other) &amp; Other incom'!L10</f>
        <v>0</v>
      </c>
      <c r="R18" s="580"/>
      <c r="S18" s="97"/>
      <c r="T18" s="633"/>
      <c r="U18" s="633"/>
      <c r="V18" s="633"/>
      <c r="W18" s="633"/>
      <c r="X18" s="633"/>
      <c r="Y18" s="633"/>
      <c r="Z18" s="633"/>
    </row>
    <row r="19" spans="1:26" ht="15" customHeight="1" thickBot="1">
      <c r="A19" s="596"/>
      <c r="B19" s="100"/>
      <c r="C19" s="568" t="s">
        <v>163</v>
      </c>
      <c r="D19" s="568"/>
      <c r="E19" s="568"/>
      <c r="F19" s="568"/>
      <c r="G19" s="568"/>
      <c r="H19" s="568"/>
      <c r="I19" s="568"/>
      <c r="J19" s="568"/>
      <c r="K19" s="568"/>
      <c r="L19" s="568"/>
      <c r="M19" s="568"/>
      <c r="N19" s="568"/>
      <c r="O19" s="568"/>
      <c r="P19" s="67"/>
      <c r="Q19" s="83">
        <f>Q16+Q17+Q18</f>
        <v>0</v>
      </c>
      <c r="R19" s="580"/>
      <c r="S19" s="97"/>
      <c r="T19" s="633"/>
      <c r="U19" s="633"/>
      <c r="V19" s="633"/>
      <c r="W19" s="633"/>
      <c r="X19" s="633"/>
      <c r="Y19" s="633"/>
      <c r="Z19" s="633"/>
    </row>
    <row r="20" spans="1:26" ht="15" customHeight="1" thickBot="1">
      <c r="A20" s="596"/>
      <c r="B20" s="63">
        <v>10</v>
      </c>
      <c r="C20" s="569" t="s">
        <v>164</v>
      </c>
      <c r="D20" s="569"/>
      <c r="E20" s="569"/>
      <c r="F20" s="569"/>
      <c r="G20" s="569"/>
      <c r="H20" s="569"/>
      <c r="I20" s="569"/>
      <c r="J20" s="569"/>
      <c r="K20" s="569"/>
      <c r="L20" s="569"/>
      <c r="M20" s="569"/>
      <c r="N20" s="569"/>
      <c r="O20" s="569"/>
      <c r="P20" s="60" t="s">
        <v>114</v>
      </c>
      <c r="Q20" s="84">
        <f>Q15+Q19</f>
        <v>660885</v>
      </c>
      <c r="R20" s="580"/>
      <c r="S20" s="97"/>
      <c r="T20" s="633"/>
      <c r="U20" s="633"/>
      <c r="V20" s="633"/>
      <c r="W20" s="633"/>
      <c r="X20" s="633"/>
      <c r="Y20" s="633"/>
      <c r="Z20" s="633"/>
    </row>
    <row r="21" spans="1:26" ht="15" customHeight="1">
      <c r="A21" s="596"/>
      <c r="B21" s="542">
        <v>11</v>
      </c>
      <c r="C21" s="570" t="s">
        <v>165</v>
      </c>
      <c r="D21" s="570"/>
      <c r="E21" s="570"/>
      <c r="F21" s="570"/>
      <c r="G21" s="570"/>
      <c r="H21" s="570"/>
      <c r="I21" s="570"/>
      <c r="J21" s="570"/>
      <c r="K21" s="570"/>
      <c r="L21" s="570"/>
      <c r="M21" s="570"/>
      <c r="N21" s="570"/>
      <c r="O21" s="570"/>
      <c r="P21" s="570"/>
      <c r="Q21" s="571"/>
      <c r="R21" s="580"/>
      <c r="S21" s="97"/>
      <c r="T21" s="633"/>
      <c r="U21" s="633"/>
      <c r="V21" s="633"/>
      <c r="W21" s="633"/>
      <c r="X21" s="633"/>
      <c r="Y21" s="633"/>
      <c r="Z21" s="633"/>
    </row>
    <row r="22" spans="1:26" ht="14.25" customHeight="1">
      <c r="A22" s="596"/>
      <c r="B22" s="543"/>
      <c r="C22" s="572" t="s">
        <v>166</v>
      </c>
      <c r="D22" s="572"/>
      <c r="E22" s="572"/>
      <c r="F22" s="572"/>
      <c r="G22" s="572"/>
      <c r="H22" s="572"/>
      <c r="I22" s="572"/>
      <c r="J22" s="572"/>
      <c r="K22" s="572"/>
      <c r="L22" s="572"/>
      <c r="M22" s="572"/>
      <c r="N22" s="572"/>
      <c r="O22" s="572"/>
      <c r="P22" s="572"/>
      <c r="Q22" s="573"/>
      <c r="R22" s="580"/>
      <c r="S22" s="97"/>
      <c r="T22" s="633"/>
      <c r="U22" s="633"/>
      <c r="V22" s="633"/>
      <c r="W22" s="633"/>
      <c r="X22" s="633"/>
      <c r="Y22" s="633"/>
      <c r="Z22" s="633"/>
    </row>
    <row r="23" spans="1:26" ht="14.25" customHeight="1">
      <c r="A23" s="596"/>
      <c r="B23" s="543"/>
      <c r="C23" s="104" t="s">
        <v>76</v>
      </c>
      <c r="D23" s="539" t="s">
        <v>167</v>
      </c>
      <c r="E23" s="539"/>
      <c r="F23" s="539"/>
      <c r="G23" s="539"/>
      <c r="H23" s="55" t="s">
        <v>114</v>
      </c>
      <c r="I23" s="80">
        <f>IF(N2="old tax regime",'GA-55'!Q31,0)</f>
        <v>60000</v>
      </c>
      <c r="J23" s="104" t="s">
        <v>77</v>
      </c>
      <c r="K23" s="565" t="s">
        <v>172</v>
      </c>
      <c r="L23" s="566"/>
      <c r="M23" s="567"/>
      <c r="N23" s="55" t="s">
        <v>114</v>
      </c>
      <c r="O23" s="80">
        <f>IF(N2="old tax regime",'Exemp.(HRA+Other) &amp; Other incom'!Q15,0)</f>
        <v>0</v>
      </c>
      <c r="P23" s="574"/>
      <c r="Q23" s="575"/>
      <c r="R23" s="580"/>
      <c r="S23" s="97"/>
      <c r="T23" s="633"/>
      <c r="U23" s="633"/>
      <c r="V23" s="633"/>
      <c r="W23" s="633"/>
      <c r="X23" s="633"/>
      <c r="Y23" s="633"/>
      <c r="Z23" s="633"/>
    </row>
    <row r="24" spans="1:26" ht="14.25" customHeight="1">
      <c r="A24" s="596"/>
      <c r="B24" s="543"/>
      <c r="C24" s="104" t="s">
        <v>78</v>
      </c>
      <c r="D24" s="539" t="s">
        <v>168</v>
      </c>
      <c r="E24" s="539"/>
      <c r="F24" s="539"/>
      <c r="G24" s="539"/>
      <c r="H24" s="55" t="s">
        <v>114</v>
      </c>
      <c r="I24" s="80">
        <f>IF(N2="old tax regime",'GA-55'!T31+'Exemp.(HRA+Other) &amp; Other incom'!L18,0)</f>
        <v>0</v>
      </c>
      <c r="J24" s="104" t="s">
        <v>79</v>
      </c>
      <c r="K24" s="565" t="s">
        <v>123</v>
      </c>
      <c r="L24" s="566"/>
      <c r="M24" s="567"/>
      <c r="N24" s="55" t="s">
        <v>114</v>
      </c>
      <c r="O24" s="81">
        <f>IF(N2="old tax regime",'Exemp.(HRA+Other) &amp; Other incom'!L23,0)</f>
        <v>0</v>
      </c>
      <c r="P24" s="574"/>
      <c r="Q24" s="575"/>
      <c r="R24" s="580"/>
      <c r="S24" s="97"/>
      <c r="T24" s="633"/>
      <c r="U24" s="633"/>
      <c r="V24" s="633"/>
      <c r="W24" s="633"/>
      <c r="X24" s="633"/>
      <c r="Y24" s="633"/>
      <c r="Z24" s="633"/>
    </row>
    <row r="25" spans="1:26" ht="14.25" customHeight="1">
      <c r="A25" s="596"/>
      <c r="B25" s="543"/>
      <c r="C25" s="104" t="s">
        <v>80</v>
      </c>
      <c r="D25" s="539" t="s">
        <v>122</v>
      </c>
      <c r="E25" s="539"/>
      <c r="F25" s="539"/>
      <c r="G25" s="539"/>
      <c r="H25" s="55" t="s">
        <v>114</v>
      </c>
      <c r="I25" s="80">
        <f>IF(N2="old tax regime",'Exemp.(HRA+Other) &amp; Other incom'!L22,0)</f>
        <v>0</v>
      </c>
      <c r="J25" s="104" t="s">
        <v>81</v>
      </c>
      <c r="K25" s="565" t="s">
        <v>120</v>
      </c>
      <c r="L25" s="566"/>
      <c r="M25" s="567"/>
      <c r="N25" s="55" t="s">
        <v>114</v>
      </c>
      <c r="O25" s="81">
        <f>IF(N2="old tax regime",'Exemp.(HRA+Other) &amp; Other incom'!L20,0)</f>
        <v>0</v>
      </c>
      <c r="P25" s="574"/>
      <c r="Q25" s="575"/>
      <c r="R25" s="580"/>
      <c r="S25" s="97"/>
      <c r="T25" s="633"/>
      <c r="U25" s="633"/>
      <c r="V25" s="633"/>
      <c r="W25" s="633"/>
      <c r="X25" s="633"/>
      <c r="Y25" s="633"/>
      <c r="Z25" s="633"/>
    </row>
    <row r="26" spans="1:26" ht="14.25" customHeight="1">
      <c r="A26" s="596"/>
      <c r="B26" s="543"/>
      <c r="C26" s="104" t="s">
        <v>82</v>
      </c>
      <c r="D26" s="539" t="s">
        <v>124</v>
      </c>
      <c r="E26" s="539"/>
      <c r="F26" s="539"/>
      <c r="G26" s="539"/>
      <c r="H26" s="55" t="s">
        <v>114</v>
      </c>
      <c r="I26" s="80">
        <f>IF(N2="old tax regime",'Exemp.(HRA+Other) &amp; Other incom'!L24,0)</f>
        <v>0</v>
      </c>
      <c r="J26" s="104" t="s">
        <v>83</v>
      </c>
      <c r="K26" s="576" t="s">
        <v>137</v>
      </c>
      <c r="L26" s="576"/>
      <c r="M26" s="576"/>
      <c r="N26" s="55" t="s">
        <v>114</v>
      </c>
      <c r="O26" s="80">
        <f>IF(N2="old tax regime",'Exemp.(HRA+Other) &amp; Other incom'!Q24,0)</f>
        <v>0</v>
      </c>
      <c r="P26" s="574"/>
      <c r="Q26" s="575"/>
      <c r="R26" s="580"/>
      <c r="S26" s="97"/>
      <c r="T26" s="633"/>
      <c r="U26" s="633"/>
      <c r="V26" s="633"/>
      <c r="W26" s="633"/>
      <c r="X26" s="633"/>
      <c r="Y26" s="633"/>
      <c r="Z26" s="633"/>
    </row>
    <row r="27" spans="1:26" ht="14.25" customHeight="1">
      <c r="A27" s="596"/>
      <c r="B27" s="543"/>
      <c r="C27" s="104" t="s">
        <v>84</v>
      </c>
      <c r="D27" s="539" t="s">
        <v>169</v>
      </c>
      <c r="E27" s="539"/>
      <c r="F27" s="539"/>
      <c r="G27" s="539"/>
      <c r="H27" s="55" t="s">
        <v>114</v>
      </c>
      <c r="I27" s="80">
        <f>IF(N2="old tax regime",'Exemp.(HRA+Other) &amp; Other incom'!L25,0)</f>
        <v>0</v>
      </c>
      <c r="J27" s="104" t="s">
        <v>85</v>
      </c>
      <c r="K27" s="565" t="s">
        <v>175</v>
      </c>
      <c r="L27" s="566"/>
      <c r="M27" s="567"/>
      <c r="N27" s="55" t="s">
        <v>114</v>
      </c>
      <c r="O27" s="80">
        <f>IF(N2="old tax regime",'Exemp.(HRA+Other) &amp; Other incom'!Q25,0)</f>
        <v>0</v>
      </c>
      <c r="P27" s="574"/>
      <c r="Q27" s="575"/>
      <c r="R27" s="580"/>
      <c r="S27" s="97"/>
      <c r="T27" s="633"/>
      <c r="U27" s="633"/>
      <c r="V27" s="633"/>
      <c r="W27" s="633"/>
      <c r="X27" s="633"/>
      <c r="Y27" s="633"/>
      <c r="Z27" s="633"/>
    </row>
    <row r="28" spans="1:26" ht="14.25" customHeight="1">
      <c r="A28" s="596"/>
      <c r="B28" s="543"/>
      <c r="C28" s="104" t="s">
        <v>86</v>
      </c>
      <c r="D28" s="579" t="s">
        <v>108</v>
      </c>
      <c r="E28" s="579"/>
      <c r="F28" s="579"/>
      <c r="G28" s="579"/>
      <c r="H28" s="55" t="s">
        <v>114</v>
      </c>
      <c r="I28" s="80">
        <f>IF(N2="old tax regime",'GA-55'!P31,0)</f>
        <v>47492</v>
      </c>
      <c r="J28" s="104" t="s">
        <v>87</v>
      </c>
      <c r="K28" s="576" t="s">
        <v>174</v>
      </c>
      <c r="L28" s="576"/>
      <c r="M28" s="576"/>
      <c r="N28" s="55" t="s">
        <v>114</v>
      </c>
      <c r="O28" s="80">
        <f>IF(N2="old tax regime",'Exemp.(HRA+Other) &amp; Other incom'!L19,0)</f>
        <v>0</v>
      </c>
      <c r="P28" s="574"/>
      <c r="Q28" s="575"/>
      <c r="R28" s="580"/>
      <c r="S28" s="97"/>
      <c r="T28" s="633"/>
      <c r="U28" s="633"/>
      <c r="V28" s="633"/>
      <c r="W28" s="633"/>
      <c r="X28" s="633"/>
      <c r="Y28" s="633"/>
      <c r="Z28" s="633"/>
    </row>
    <row r="29" spans="1:26" ht="14.25" customHeight="1">
      <c r="A29" s="596"/>
      <c r="B29" s="543"/>
      <c r="C29" s="104" t="s">
        <v>88</v>
      </c>
      <c r="D29" s="539" t="s">
        <v>170</v>
      </c>
      <c r="E29" s="539"/>
      <c r="F29" s="539"/>
      <c r="G29" s="539"/>
      <c r="H29" s="55" t="s">
        <v>114</v>
      </c>
      <c r="I29" s="81">
        <f>IF(N2="old tax regime",'GA-55'!U31,0)</f>
        <v>1400</v>
      </c>
      <c r="J29" s="104" t="s">
        <v>89</v>
      </c>
      <c r="K29" s="565" t="s">
        <v>127</v>
      </c>
      <c r="L29" s="566"/>
      <c r="M29" s="567"/>
      <c r="N29" s="55" t="s">
        <v>114</v>
      </c>
      <c r="O29" s="80">
        <f>IF(N2="old tax regime",'Exemp.(HRA+Other) &amp; Other incom'!Q14,0)</f>
        <v>0</v>
      </c>
      <c r="P29" s="574"/>
      <c r="Q29" s="575"/>
      <c r="R29" s="580"/>
      <c r="S29" s="97"/>
      <c r="T29" s="633"/>
      <c r="U29" s="633"/>
      <c r="V29" s="633"/>
      <c r="W29" s="633"/>
      <c r="X29" s="633"/>
      <c r="Y29" s="633"/>
      <c r="Z29" s="633"/>
    </row>
    <row r="30" spans="1:26" ht="14.25" customHeight="1">
      <c r="A30" s="596"/>
      <c r="B30" s="543"/>
      <c r="C30" s="104" t="s">
        <v>90</v>
      </c>
      <c r="D30" s="539" t="s">
        <v>121</v>
      </c>
      <c r="E30" s="539"/>
      <c r="F30" s="539"/>
      <c r="G30" s="539"/>
      <c r="H30" s="55" t="s">
        <v>114</v>
      </c>
      <c r="I30" s="81">
        <f>IF(N2="old tax regime",'Exemp.(HRA+Other) &amp; Other incom'!L21,0)</f>
        <v>0</v>
      </c>
      <c r="J30" s="104" t="s">
        <v>91</v>
      </c>
      <c r="K30" s="576" t="s">
        <v>173</v>
      </c>
      <c r="L30" s="576"/>
      <c r="M30" s="576"/>
      <c r="N30" s="55" t="s">
        <v>114</v>
      </c>
      <c r="O30" s="80">
        <f>IF(N2="old tax regime",'Exemp.(HRA+Other) &amp; Other incom'!L26,0)</f>
        <v>0</v>
      </c>
      <c r="P30" s="574"/>
      <c r="Q30" s="575"/>
      <c r="R30" s="580"/>
      <c r="S30" s="97"/>
      <c r="T30" s="633"/>
      <c r="U30" s="633"/>
      <c r="V30" s="633"/>
      <c r="W30" s="633"/>
      <c r="X30" s="633"/>
      <c r="Y30" s="633"/>
      <c r="Z30" s="633"/>
    </row>
    <row r="31" spans="1:26" ht="14.25" customHeight="1">
      <c r="A31" s="596"/>
      <c r="B31" s="543"/>
      <c r="C31" s="104" t="s">
        <v>92</v>
      </c>
      <c r="D31" s="563" t="s">
        <v>171</v>
      </c>
      <c r="E31" s="563"/>
      <c r="F31" s="563"/>
      <c r="G31" s="563"/>
      <c r="H31" s="55" t="s">
        <v>114</v>
      </c>
      <c r="I31" s="80">
        <f>IF(N2="old tax regime",'Exemp.(HRA+Other) &amp; Other incom'!L16,0)</f>
        <v>0</v>
      </c>
      <c r="J31" s="104" t="s">
        <v>93</v>
      </c>
      <c r="K31" s="608"/>
      <c r="L31" s="608"/>
      <c r="M31" s="608"/>
      <c r="N31" s="55" t="s">
        <v>114</v>
      </c>
      <c r="O31" s="112"/>
      <c r="P31" s="574"/>
      <c r="Q31" s="575"/>
      <c r="R31" s="580"/>
      <c r="S31" s="97"/>
      <c r="T31" s="633"/>
      <c r="U31" s="633"/>
      <c r="V31" s="633"/>
      <c r="W31" s="633"/>
      <c r="X31" s="633"/>
      <c r="Y31" s="633"/>
      <c r="Z31" s="633"/>
    </row>
    <row r="32" spans="1:26" ht="14.25" customHeight="1">
      <c r="A32" s="596"/>
      <c r="B32" s="543"/>
      <c r="C32" s="577" t="s">
        <v>176</v>
      </c>
      <c r="D32" s="577"/>
      <c r="E32" s="577"/>
      <c r="F32" s="577"/>
      <c r="G32" s="577"/>
      <c r="H32" s="577"/>
      <c r="I32" s="577"/>
      <c r="J32" s="577"/>
      <c r="K32" s="577"/>
      <c r="L32" s="577"/>
      <c r="M32" s="577"/>
      <c r="N32" s="55" t="s">
        <v>114</v>
      </c>
      <c r="O32" s="82">
        <f>SUM(O23:O31,I23:I31)</f>
        <v>108892</v>
      </c>
      <c r="P32" s="574"/>
      <c r="Q32" s="575"/>
      <c r="R32" s="580"/>
      <c r="S32" s="97"/>
      <c r="T32" s="633"/>
      <c r="U32" s="633"/>
      <c r="V32" s="633"/>
      <c r="W32" s="633"/>
      <c r="X32" s="633"/>
      <c r="Y32" s="633"/>
      <c r="Z32" s="633"/>
    </row>
    <row r="33" spans="1:40" ht="14.25" customHeight="1">
      <c r="A33" s="596"/>
      <c r="B33" s="543"/>
      <c r="C33" s="577" t="s">
        <v>177</v>
      </c>
      <c r="D33" s="577"/>
      <c r="E33" s="577"/>
      <c r="F33" s="577"/>
      <c r="G33" s="577"/>
      <c r="H33" s="577"/>
      <c r="I33" s="577"/>
      <c r="J33" s="577"/>
      <c r="K33" s="577"/>
      <c r="L33" s="577"/>
      <c r="M33" s="577"/>
      <c r="N33" s="577"/>
      <c r="O33" s="577"/>
      <c r="P33" s="65" t="s">
        <v>114</v>
      </c>
      <c r="Q33" s="78">
        <f>IF(N2="new tax regime",0,IF(O32&gt;=150000,150000,O32))</f>
        <v>108892</v>
      </c>
      <c r="R33" s="580"/>
      <c r="S33" s="97"/>
      <c r="T33" s="633"/>
      <c r="U33" s="633"/>
      <c r="V33" s="633"/>
      <c r="W33" s="633"/>
      <c r="X33" s="633"/>
      <c r="Y33" s="633"/>
      <c r="Z33" s="633"/>
    </row>
    <row r="34" spans="1:40" ht="22.5" customHeight="1">
      <c r="A34" s="596"/>
      <c r="B34" s="543"/>
      <c r="C34" s="572" t="s">
        <v>178</v>
      </c>
      <c r="D34" s="572"/>
      <c r="E34" s="572"/>
      <c r="F34" s="572"/>
      <c r="G34" s="572"/>
      <c r="H34" s="572"/>
      <c r="I34" s="572"/>
      <c r="J34" s="572"/>
      <c r="K34" s="572"/>
      <c r="L34" s="572"/>
      <c r="M34" s="572"/>
      <c r="N34" s="572"/>
      <c r="O34" s="572"/>
      <c r="P34" s="53" t="s">
        <v>114</v>
      </c>
      <c r="Q34" s="78">
        <f>IF(N2="old tax regime",'Exemp.(HRA+Other) &amp; Other incom'!Q16,0)</f>
        <v>0</v>
      </c>
      <c r="R34" s="580"/>
      <c r="S34" s="97"/>
      <c r="T34" s="633"/>
      <c r="U34" s="633"/>
      <c r="V34" s="633"/>
      <c r="W34" s="633"/>
      <c r="X34" s="633"/>
      <c r="Y34" s="633"/>
      <c r="Z34" s="633"/>
    </row>
    <row r="35" spans="1:40" ht="22.5" customHeight="1">
      <c r="A35" s="596"/>
      <c r="B35" s="543"/>
      <c r="C35" s="578" t="s">
        <v>180</v>
      </c>
      <c r="D35" s="578"/>
      <c r="E35" s="578"/>
      <c r="F35" s="578"/>
      <c r="G35" s="578"/>
      <c r="H35" s="578"/>
      <c r="I35" s="578"/>
      <c r="J35" s="578"/>
      <c r="K35" s="578"/>
      <c r="L35" s="578"/>
      <c r="M35" s="578"/>
      <c r="N35" s="578"/>
      <c r="O35" s="578"/>
      <c r="P35" s="54" t="s">
        <v>114</v>
      </c>
      <c r="Q35" s="79">
        <f>Q33+Q34</f>
        <v>108892</v>
      </c>
      <c r="R35" s="580"/>
      <c r="S35" s="97"/>
      <c r="T35" s="633"/>
      <c r="U35" s="633"/>
      <c r="V35" s="633"/>
      <c r="W35" s="633"/>
      <c r="X35" s="633"/>
      <c r="Y35" s="633"/>
      <c r="Z35" s="633"/>
    </row>
    <row r="36" spans="1:40" ht="14.25" customHeight="1">
      <c r="A36" s="596"/>
      <c r="B36" s="543">
        <v>12</v>
      </c>
      <c r="C36" s="560" t="s">
        <v>179</v>
      </c>
      <c r="D36" s="560"/>
      <c r="E36" s="560"/>
      <c r="F36" s="560"/>
      <c r="G36" s="560"/>
      <c r="H36" s="560"/>
      <c r="I36" s="560"/>
      <c r="J36" s="560"/>
      <c r="K36" s="560"/>
      <c r="L36" s="560"/>
      <c r="M36" s="560"/>
      <c r="N36" s="560"/>
      <c r="O36" s="560"/>
      <c r="P36" s="560"/>
      <c r="Q36" s="561"/>
      <c r="R36" s="580"/>
      <c r="S36" s="97"/>
      <c r="T36" s="633"/>
      <c r="U36" s="633"/>
      <c r="V36" s="633"/>
      <c r="W36" s="633"/>
      <c r="X36" s="633"/>
      <c r="Y36" s="633"/>
      <c r="Z36" s="633"/>
    </row>
    <row r="37" spans="1:40" ht="14.25" customHeight="1">
      <c r="A37" s="596"/>
      <c r="B37" s="543"/>
      <c r="C37" s="562" t="s">
        <v>213</v>
      </c>
      <c r="D37" s="562"/>
      <c r="E37" s="562"/>
      <c r="F37" s="562"/>
      <c r="G37" s="562"/>
      <c r="H37" s="562"/>
      <c r="I37" s="562"/>
      <c r="J37" s="562"/>
      <c r="K37" s="562"/>
      <c r="L37" s="562"/>
      <c r="M37" s="562"/>
      <c r="N37" s="562"/>
      <c r="O37" s="562"/>
      <c r="P37" s="53" t="s">
        <v>114</v>
      </c>
      <c r="Q37" s="73">
        <f>IF(N2="old tax regime",'Exemp.(HRA+Other) &amp; Other incom'!Q17,0)</f>
        <v>0</v>
      </c>
      <c r="R37" s="580"/>
      <c r="S37" s="97"/>
      <c r="T37" s="633"/>
      <c r="U37" s="633"/>
      <c r="V37" s="633"/>
      <c r="W37" s="633"/>
      <c r="X37" s="633"/>
      <c r="Y37" s="633"/>
      <c r="Z37" s="633"/>
    </row>
    <row r="38" spans="1:40" ht="14.25" customHeight="1">
      <c r="A38" s="596"/>
      <c r="B38" s="543"/>
      <c r="C38" s="539" t="s">
        <v>184</v>
      </c>
      <c r="D38" s="539"/>
      <c r="E38" s="539"/>
      <c r="F38" s="539"/>
      <c r="G38" s="539"/>
      <c r="H38" s="539"/>
      <c r="I38" s="539"/>
      <c r="J38" s="539"/>
      <c r="K38" s="539"/>
      <c r="L38" s="539"/>
      <c r="M38" s="539"/>
      <c r="N38" s="539"/>
      <c r="O38" s="539"/>
      <c r="P38" s="53" t="s">
        <v>114</v>
      </c>
      <c r="Q38" s="73">
        <f>IF(N2="old tax regime",'Exemp.(HRA+Other) &amp; Other incom'!Q18,0)</f>
        <v>0</v>
      </c>
      <c r="R38" s="580"/>
      <c r="S38" s="97"/>
      <c r="T38" s="633"/>
      <c r="U38" s="633"/>
      <c r="V38" s="633"/>
      <c r="W38" s="633"/>
      <c r="X38" s="633"/>
      <c r="Y38" s="633"/>
      <c r="Z38" s="633"/>
    </row>
    <row r="39" spans="1:40" ht="14.25" customHeight="1">
      <c r="A39" s="596"/>
      <c r="B39" s="543"/>
      <c r="C39" s="539" t="s">
        <v>181</v>
      </c>
      <c r="D39" s="539"/>
      <c r="E39" s="539"/>
      <c r="F39" s="539"/>
      <c r="G39" s="539"/>
      <c r="H39" s="539"/>
      <c r="I39" s="539"/>
      <c r="J39" s="539"/>
      <c r="K39" s="539"/>
      <c r="L39" s="539"/>
      <c r="M39" s="539"/>
      <c r="N39" s="539"/>
      <c r="O39" s="539"/>
      <c r="P39" s="53" t="s">
        <v>114</v>
      </c>
      <c r="Q39" s="73">
        <f>IF(N2="old tax regime",'Exemp.(HRA+Other) &amp; Other incom'!Q19,0)</f>
        <v>0</v>
      </c>
      <c r="R39" s="580"/>
      <c r="S39" s="97"/>
      <c r="T39" s="633"/>
      <c r="U39" s="633"/>
      <c r="V39" s="633"/>
      <c r="W39" s="633"/>
      <c r="X39" s="633"/>
      <c r="Y39" s="633"/>
      <c r="Z39" s="633"/>
    </row>
    <row r="40" spans="1:40" ht="14.25" customHeight="1">
      <c r="A40" s="596"/>
      <c r="B40" s="543"/>
      <c r="C40" s="539" t="s">
        <v>182</v>
      </c>
      <c r="D40" s="539"/>
      <c r="E40" s="539"/>
      <c r="F40" s="539"/>
      <c r="G40" s="539"/>
      <c r="H40" s="539"/>
      <c r="I40" s="539"/>
      <c r="J40" s="539"/>
      <c r="K40" s="539"/>
      <c r="L40" s="539"/>
      <c r="M40" s="539"/>
      <c r="N40" s="539"/>
      <c r="O40" s="539"/>
      <c r="P40" s="53" t="s">
        <v>114</v>
      </c>
      <c r="Q40" s="73">
        <f>IF(N2="old tax regime",'Exemp.(HRA+Other) &amp; Other incom'!Q20,0)</f>
        <v>0</v>
      </c>
      <c r="R40" s="580"/>
      <c r="S40" s="97"/>
      <c r="T40" s="633"/>
      <c r="U40" s="633"/>
      <c r="V40" s="633"/>
      <c r="W40" s="633"/>
      <c r="X40" s="633"/>
      <c r="Y40" s="633"/>
      <c r="Z40" s="633"/>
      <c r="AE40" s="93"/>
      <c r="AF40" s="93"/>
      <c r="AG40" s="93"/>
      <c r="AH40" s="93"/>
      <c r="AI40" s="93"/>
      <c r="AJ40" s="93"/>
      <c r="AK40" s="106"/>
      <c r="AL40" s="106"/>
      <c r="AM40" s="106"/>
      <c r="AN40" s="106"/>
    </row>
    <row r="41" spans="1:40" ht="14.25" customHeight="1">
      <c r="A41" s="596"/>
      <c r="B41" s="543"/>
      <c r="C41" s="539" t="s">
        <v>183</v>
      </c>
      <c r="D41" s="539"/>
      <c r="E41" s="539"/>
      <c r="F41" s="539"/>
      <c r="G41" s="539"/>
      <c r="H41" s="539"/>
      <c r="I41" s="539"/>
      <c r="J41" s="539"/>
      <c r="K41" s="539"/>
      <c r="L41" s="539"/>
      <c r="M41" s="539"/>
      <c r="N41" s="539"/>
      <c r="O41" s="539"/>
      <c r="P41" s="53" t="s">
        <v>114</v>
      </c>
      <c r="Q41" s="73">
        <f>IF(N2="old tax regime",'Exemp.(HRA+Other) &amp; Other incom'!Q21,0)</f>
        <v>0</v>
      </c>
      <c r="R41" s="580"/>
      <c r="S41" s="97"/>
      <c r="T41" s="633"/>
      <c r="U41" s="633"/>
      <c r="V41" s="633"/>
      <c r="W41" s="633"/>
      <c r="X41" s="633"/>
      <c r="Y41" s="633"/>
      <c r="Z41" s="633"/>
      <c r="AE41" s="93"/>
      <c r="AF41" s="93"/>
      <c r="AG41" s="93"/>
      <c r="AH41" s="93" t="s">
        <v>221</v>
      </c>
      <c r="AI41" s="93" t="s">
        <v>222</v>
      </c>
      <c r="AJ41" s="94" t="s">
        <v>223</v>
      </c>
      <c r="AK41" s="106" t="s">
        <v>224</v>
      </c>
      <c r="AL41" s="106"/>
      <c r="AM41" s="212" t="s">
        <v>275</v>
      </c>
      <c r="AN41" s="106"/>
    </row>
    <row r="42" spans="1:40" ht="14.25" customHeight="1">
      <c r="A42" s="596"/>
      <c r="B42" s="543"/>
      <c r="C42" s="562" t="s">
        <v>185</v>
      </c>
      <c r="D42" s="562"/>
      <c r="E42" s="562"/>
      <c r="F42" s="562"/>
      <c r="G42" s="562"/>
      <c r="H42" s="562"/>
      <c r="I42" s="562"/>
      <c r="J42" s="562"/>
      <c r="K42" s="562"/>
      <c r="L42" s="562"/>
      <c r="M42" s="562"/>
      <c r="N42" s="562"/>
      <c r="O42" s="562"/>
      <c r="P42" s="53" t="s">
        <v>114</v>
      </c>
      <c r="Q42" s="73">
        <f>IF(N2="old tax regime",'Exemp.(HRA+Other) &amp; Other incom'!Q22,0)</f>
        <v>0</v>
      </c>
      <c r="R42" s="580"/>
      <c r="S42" s="97"/>
      <c r="T42" s="633"/>
      <c r="U42" s="633"/>
      <c r="V42" s="633"/>
      <c r="W42" s="633"/>
      <c r="X42" s="633"/>
      <c r="Y42" s="633"/>
      <c r="Z42" s="633"/>
      <c r="AE42" s="93"/>
      <c r="AF42" s="93"/>
      <c r="AG42" s="93"/>
      <c r="AH42" s="93">
        <f>IF($Q$48&gt;1000000,1,IF($Q$48&gt;500000,2,IF($Q$48&gt;300000,3,IF($Q$48&gt;250000,4,0))))</f>
        <v>2</v>
      </c>
      <c r="AI42" s="93">
        <f>IF($Q$48&gt;1000000,1,IF($Q$48&gt;500000,2,IF($Q$48&gt;300000,3,0)))</f>
        <v>2</v>
      </c>
      <c r="AJ42" s="93">
        <f>IF($Q$48&gt;1000000,1,IF($Q$48&gt;500000,2,0))</f>
        <v>2</v>
      </c>
      <c r="AK42" s="106">
        <f>IF($Q$48&gt;1000000,1,0)</f>
        <v>0</v>
      </c>
      <c r="AL42" s="106"/>
      <c r="AM42" s="106"/>
      <c r="AN42" s="106"/>
    </row>
    <row r="43" spans="1:40" ht="14.25" customHeight="1">
      <c r="A43" s="596"/>
      <c r="B43" s="543"/>
      <c r="C43" s="563" t="s">
        <v>186</v>
      </c>
      <c r="D43" s="563"/>
      <c r="E43" s="563"/>
      <c r="F43" s="563"/>
      <c r="G43" s="563"/>
      <c r="H43" s="563"/>
      <c r="I43" s="563"/>
      <c r="J43" s="563"/>
      <c r="K43" s="563"/>
      <c r="L43" s="563"/>
      <c r="M43" s="563"/>
      <c r="N43" s="563"/>
      <c r="O43" s="563"/>
      <c r="P43" s="53" t="s">
        <v>114</v>
      </c>
      <c r="Q43" s="73">
        <f>IF(N2="old tax regime",'Exemp.(HRA+Other) &amp; Other incom'!Q13,0)</f>
        <v>0</v>
      </c>
      <c r="R43" s="580"/>
      <c r="S43" s="97"/>
      <c r="T43" s="633"/>
      <c r="U43" s="633"/>
      <c r="V43" s="633"/>
      <c r="W43" s="633"/>
      <c r="X43" s="633"/>
      <c r="Y43" s="633"/>
      <c r="Z43" s="633"/>
      <c r="AE43" s="93"/>
      <c r="AF43" s="93"/>
      <c r="AG43" s="93" t="s">
        <v>218</v>
      </c>
      <c r="AH43" s="93">
        <f>IF(AH42&gt;=1,2500,0)</f>
        <v>2500</v>
      </c>
      <c r="AI43" s="93">
        <f>IF(AI42=3,ROUND((Q48-300000)*0.05,0),IF(AI42=0,0,10000))</f>
        <v>10000</v>
      </c>
      <c r="AJ43" s="93">
        <f>IF($AJ$42=2,($Q$48-500000)*0.2,IF($AJ$42=1,100000,0))</f>
        <v>10398</v>
      </c>
      <c r="AK43" s="106">
        <f>IF($AK$42&gt;0,($Q$48-1000000)*0.3,0)</f>
        <v>0</v>
      </c>
      <c r="AL43" s="106">
        <f>SUM(AH43:AK43)</f>
        <v>22898</v>
      </c>
      <c r="AM43" s="106">
        <f>IF($Q$48&gt;50000000,AL43*0.37,IF($Q$48&gt;20000000,AL43*0.25,IF($Q$48&gt;10000000,Y63*0.15,IF($Q$48&gt;5000000,Y63*0.1,0))))</f>
        <v>0</v>
      </c>
      <c r="AN43" s="106"/>
    </row>
    <row r="44" spans="1:40" ht="14.25" customHeight="1">
      <c r="A44" s="596"/>
      <c r="B44" s="543"/>
      <c r="C44" s="539" t="s">
        <v>187</v>
      </c>
      <c r="D44" s="539"/>
      <c r="E44" s="539"/>
      <c r="F44" s="539"/>
      <c r="G44" s="539"/>
      <c r="H44" s="539"/>
      <c r="I44" s="539"/>
      <c r="J44" s="539"/>
      <c r="K44" s="539"/>
      <c r="L44" s="539"/>
      <c r="M44" s="539"/>
      <c r="N44" s="539"/>
      <c r="O44" s="539"/>
      <c r="P44" s="53" t="s">
        <v>114</v>
      </c>
      <c r="Q44" s="73">
        <f>IF(N2="old tax regime",'Exemp.(HRA+Other) &amp; Other incom'!Q23,0)</f>
        <v>0</v>
      </c>
      <c r="R44" s="580"/>
      <c r="S44" s="97"/>
      <c r="T44" s="633"/>
      <c r="U44" s="633"/>
      <c r="V44" s="633"/>
      <c r="W44" s="633"/>
      <c r="X44" s="633"/>
      <c r="Y44" s="633"/>
      <c r="Z44" s="633"/>
      <c r="AE44" s="93"/>
      <c r="AF44" s="93"/>
      <c r="AG44" s="93" t="s">
        <v>109</v>
      </c>
      <c r="AH44" s="94">
        <v>0</v>
      </c>
      <c r="AI44" s="93">
        <f>IF(AI42=3,ROUND((Q48-300000)*0.05,0),IF(AI42=0,0,10000))</f>
        <v>10000</v>
      </c>
      <c r="AJ44" s="93">
        <f>IF($AJ$42=2,($Q$48-500000)*0.2,IF($AJ$42=1,100000,0))</f>
        <v>10398</v>
      </c>
      <c r="AK44" s="106">
        <f>IF($AK$42&gt;0,($Q$48-1000000)*0.3,0)</f>
        <v>0</v>
      </c>
      <c r="AL44" s="212">
        <f t="shared" ref="AL44:AL45" si="0">SUM(AH44:AK44)</f>
        <v>20398</v>
      </c>
      <c r="AM44" s="212">
        <f>IF($Q$48&gt;50000000,AL44*0.37,IF($Q$48&gt;20000000,AL44*0.25,IF($Q$48&gt;10000000,Y64*0.15,IF($Q$48&gt;5000000,Y64*0.1,0))))</f>
        <v>0</v>
      </c>
      <c r="AN44" s="106"/>
    </row>
    <row r="45" spans="1:40" ht="12" customHeight="1" thickBot="1">
      <c r="A45" s="596"/>
      <c r="B45" s="559"/>
      <c r="C45" s="564" t="s">
        <v>188</v>
      </c>
      <c r="D45" s="564"/>
      <c r="E45" s="564"/>
      <c r="F45" s="564"/>
      <c r="G45" s="564"/>
      <c r="H45" s="564"/>
      <c r="I45" s="564"/>
      <c r="J45" s="564"/>
      <c r="K45" s="564"/>
      <c r="L45" s="564"/>
      <c r="M45" s="564"/>
      <c r="N45" s="564"/>
      <c r="O45" s="564"/>
      <c r="P45" s="56" t="s">
        <v>114</v>
      </c>
      <c r="Q45" s="74">
        <f>SUM(Q37:Q44)</f>
        <v>0</v>
      </c>
      <c r="R45" s="580"/>
      <c r="S45" s="97"/>
      <c r="T45" s="633"/>
      <c r="U45" s="633"/>
      <c r="V45" s="633"/>
      <c r="W45" s="633"/>
      <c r="X45" s="633"/>
      <c r="Y45" s="633"/>
      <c r="Z45" s="633"/>
      <c r="AE45" s="93"/>
      <c r="AF45" s="93"/>
      <c r="AG45" s="93" t="s">
        <v>217</v>
      </c>
      <c r="AH45" s="94">
        <v>0</v>
      </c>
      <c r="AI45" s="94">
        <v>0</v>
      </c>
      <c r="AJ45" s="93">
        <f>IF($AJ$42=2,($Q$48-500000)*0.2,IF($AJ$42=1,100000,0))</f>
        <v>10398</v>
      </c>
      <c r="AK45" s="106">
        <f>IF($AK$42&gt;0,($Q$48-1000000)*0.3,0)</f>
        <v>0</v>
      </c>
      <c r="AL45" s="212">
        <f t="shared" si="0"/>
        <v>10398</v>
      </c>
      <c r="AM45" s="212">
        <f>IF($Q$48&gt;50000000,AL45*0.37,IF($Q$48&gt;20000000,AL45*0.25,IF($Q$48&gt;10000000,Y65*0.15,IF($Q$48&gt;5000000,Y65*0.1,0))))</f>
        <v>0</v>
      </c>
      <c r="AN45" s="106"/>
    </row>
    <row r="46" spans="1:40" ht="12" customHeight="1" thickBot="1">
      <c r="A46" s="596"/>
      <c r="B46" s="64">
        <v>13</v>
      </c>
      <c r="C46" s="550" t="s">
        <v>189</v>
      </c>
      <c r="D46" s="550"/>
      <c r="E46" s="550"/>
      <c r="F46" s="550"/>
      <c r="G46" s="550"/>
      <c r="H46" s="550"/>
      <c r="I46" s="550"/>
      <c r="J46" s="550"/>
      <c r="K46" s="550"/>
      <c r="L46" s="550"/>
      <c r="M46" s="550"/>
      <c r="N46" s="550"/>
      <c r="O46" s="550"/>
      <c r="P46" s="62" t="s">
        <v>114</v>
      </c>
      <c r="Q46" s="75">
        <f>Q35+Q45</f>
        <v>108892</v>
      </c>
      <c r="R46" s="580"/>
      <c r="S46" s="97"/>
      <c r="T46" s="633"/>
      <c r="U46" s="633"/>
      <c r="V46" s="633"/>
      <c r="W46" s="633"/>
      <c r="X46" s="633"/>
      <c r="Y46" s="633"/>
      <c r="Z46" s="633"/>
      <c r="AE46" s="93"/>
      <c r="AF46" s="93"/>
      <c r="AG46" s="93"/>
      <c r="AH46" s="93"/>
      <c r="AI46" s="93"/>
      <c r="AJ46" s="93"/>
      <c r="AK46" s="106"/>
      <c r="AL46" s="106"/>
      <c r="AM46" s="106"/>
      <c r="AN46" s="106"/>
    </row>
    <row r="47" spans="1:40" ht="13.5" customHeight="1">
      <c r="A47" s="596"/>
      <c r="B47" s="98">
        <v>14</v>
      </c>
      <c r="C47" s="551" t="s">
        <v>190</v>
      </c>
      <c r="D47" s="551"/>
      <c r="E47" s="551"/>
      <c r="F47" s="551"/>
      <c r="G47" s="551"/>
      <c r="H47" s="551"/>
      <c r="I47" s="551"/>
      <c r="J47" s="551"/>
      <c r="K47" s="551"/>
      <c r="L47" s="551"/>
      <c r="M47" s="551"/>
      <c r="N47" s="551"/>
      <c r="O47" s="551"/>
      <c r="P47" s="58" t="s">
        <v>114</v>
      </c>
      <c r="Q47" s="76">
        <f>Q20-Q46</f>
        <v>551993</v>
      </c>
      <c r="R47" s="580"/>
      <c r="S47" s="97"/>
      <c r="T47" s="633"/>
      <c r="U47" s="633"/>
      <c r="V47" s="633"/>
      <c r="W47" s="633"/>
      <c r="X47" s="633"/>
      <c r="Y47" s="633"/>
      <c r="Z47" s="633"/>
      <c r="AE47" s="93"/>
      <c r="AF47" s="93"/>
      <c r="AG47" s="93"/>
      <c r="AH47" s="93"/>
      <c r="AI47" s="93"/>
      <c r="AJ47" s="93"/>
      <c r="AK47" s="106"/>
      <c r="AL47" s="106"/>
      <c r="AM47" s="106"/>
      <c r="AN47" s="106"/>
    </row>
    <row r="48" spans="1:40" ht="15.75" customHeight="1" thickBot="1">
      <c r="A48" s="596"/>
      <c r="B48" s="100">
        <v>15</v>
      </c>
      <c r="C48" s="541" t="s">
        <v>191</v>
      </c>
      <c r="D48" s="541"/>
      <c r="E48" s="541"/>
      <c r="F48" s="541"/>
      <c r="G48" s="541"/>
      <c r="H48" s="541"/>
      <c r="I48" s="541"/>
      <c r="J48" s="541"/>
      <c r="K48" s="541"/>
      <c r="L48" s="541"/>
      <c r="M48" s="541"/>
      <c r="N48" s="541"/>
      <c r="O48" s="541"/>
      <c r="P48" s="59" t="s">
        <v>114</v>
      </c>
      <c r="Q48" s="77">
        <f>ROUND(Q47,-1)</f>
        <v>551990</v>
      </c>
      <c r="R48" s="580"/>
      <c r="S48" s="97"/>
      <c r="T48" s="633"/>
      <c r="U48" s="633"/>
      <c r="V48" s="633"/>
      <c r="W48" s="633"/>
      <c r="X48" s="633"/>
      <c r="Y48" s="633"/>
      <c r="Z48" s="633"/>
      <c r="AE48" s="93" t="str">
        <f>IF(N2="Old tax regime","O","N")</f>
        <v>O</v>
      </c>
      <c r="AF48" s="93" t="str">
        <f>'Basic Deta'!Q10</f>
        <v>A</v>
      </c>
      <c r="AG48" s="93" t="str">
        <f>CONCATENATE(AE48,AF48)</f>
        <v>OA</v>
      </c>
      <c r="AH48" s="94"/>
      <c r="AI48" s="94"/>
      <c r="AJ48" s="94"/>
      <c r="AK48" s="106"/>
      <c r="AL48" s="106"/>
      <c r="AM48" s="106"/>
      <c r="AN48" s="106"/>
    </row>
    <row r="49" spans="1:40" ht="14.25" customHeight="1">
      <c r="A49" s="596"/>
      <c r="B49" s="542">
        <v>16</v>
      </c>
      <c r="C49" s="552" t="s">
        <v>192</v>
      </c>
      <c r="D49" s="552"/>
      <c r="E49" s="552"/>
      <c r="F49" s="552"/>
      <c r="G49" s="552"/>
      <c r="H49" s="552"/>
      <c r="I49" s="552"/>
      <c r="J49" s="552"/>
      <c r="K49" s="552"/>
      <c r="L49" s="552"/>
      <c r="M49" s="552"/>
      <c r="N49" s="552"/>
      <c r="O49" s="552"/>
      <c r="P49" s="552"/>
      <c r="Q49" s="553"/>
      <c r="R49" s="580"/>
      <c r="S49" s="97"/>
      <c r="T49" s="633"/>
      <c r="U49" s="633"/>
      <c r="V49" s="633"/>
      <c r="W49" s="633"/>
      <c r="X49" s="633"/>
      <c r="Y49" s="633"/>
      <c r="Z49" s="633"/>
      <c r="AE49" s="93"/>
      <c r="AF49" s="93"/>
      <c r="AG49" s="93"/>
      <c r="AH49" s="93"/>
      <c r="AI49" s="93"/>
      <c r="AJ49" s="93"/>
      <c r="AK49" s="106"/>
      <c r="AL49" s="106"/>
      <c r="AM49" s="106"/>
      <c r="AN49" s="106"/>
    </row>
    <row r="50" spans="1:40" ht="14.25" customHeight="1">
      <c r="A50" s="596"/>
      <c r="B50" s="543"/>
      <c r="C50" s="554" t="s">
        <v>252</v>
      </c>
      <c r="D50" s="555"/>
      <c r="E50" s="555"/>
      <c r="F50" s="555"/>
      <c r="G50" s="555"/>
      <c r="H50" s="556"/>
      <c r="I50" s="554" t="s">
        <v>193</v>
      </c>
      <c r="J50" s="555"/>
      <c r="K50" s="557" t="s">
        <v>194</v>
      </c>
      <c r="L50" s="558"/>
      <c r="M50" s="554" t="s">
        <v>251</v>
      </c>
      <c r="N50" s="555"/>
      <c r="O50" s="556"/>
      <c r="P50" s="103"/>
      <c r="Q50" s="68"/>
      <c r="R50" s="580"/>
      <c r="S50" s="97"/>
      <c r="T50" s="633"/>
      <c r="U50" s="633"/>
      <c r="V50" s="633"/>
      <c r="W50" s="633"/>
      <c r="X50" s="633"/>
      <c r="Y50" s="633"/>
      <c r="Z50" s="633"/>
      <c r="AE50" s="93"/>
      <c r="AF50" s="93"/>
      <c r="AG50" s="93"/>
      <c r="AH50" s="93"/>
      <c r="AI50" s="93"/>
      <c r="AJ50" s="93"/>
      <c r="AK50" s="106"/>
      <c r="AL50" s="106"/>
      <c r="AM50" s="106"/>
      <c r="AN50" s="106"/>
    </row>
    <row r="51" spans="1:40" ht="12" customHeight="1">
      <c r="A51" s="596"/>
      <c r="B51" s="543"/>
      <c r="C51" s="544" t="str">
        <f t="shared" ref="C51" si="1">IF($N$2="old tax regime","2,50,000 तक","3,00,000 तक")</f>
        <v>2,50,000 तक</v>
      </c>
      <c r="D51" s="545"/>
      <c r="E51" s="545"/>
      <c r="F51" s="545"/>
      <c r="G51" s="545"/>
      <c r="H51" s="546"/>
      <c r="I51" s="544" t="str">
        <f t="shared" ref="I51" si="2">IF($N$2="old tax regime","Nil","Nil")</f>
        <v>Nil</v>
      </c>
      <c r="J51" s="546"/>
      <c r="K51" s="544" t="str">
        <f t="shared" ref="K51" si="3">IF($N$2="old tax regime","Nil","Nil")</f>
        <v>Nil</v>
      </c>
      <c r="L51" s="546"/>
      <c r="M51" s="544" t="str">
        <f>IF($N$2="old tax regime","Nil","Nil")</f>
        <v>Nil</v>
      </c>
      <c r="N51" s="545"/>
      <c r="O51" s="546"/>
      <c r="P51" s="53" t="s">
        <v>114</v>
      </c>
      <c r="Q51" s="70">
        <v>0</v>
      </c>
      <c r="R51" s="580"/>
      <c r="S51" s="97"/>
      <c r="T51" s="633"/>
      <c r="U51" s="633"/>
      <c r="V51" s="633"/>
      <c r="W51" s="633"/>
      <c r="X51" s="633"/>
      <c r="Y51" s="633"/>
      <c r="Z51" s="633"/>
      <c r="AE51" s="93"/>
      <c r="AF51" s="93"/>
      <c r="AG51" s="93"/>
      <c r="AH51" s="93"/>
      <c r="AI51" s="93"/>
      <c r="AJ51" s="93"/>
      <c r="AK51" s="106"/>
      <c r="AL51" s="106"/>
      <c r="AM51" s="106"/>
      <c r="AN51" s="106"/>
    </row>
    <row r="52" spans="1:40" ht="21" customHeight="1">
      <c r="A52" s="596"/>
      <c r="B52" s="543"/>
      <c r="C52" s="544" t="str">
        <f>IF($N$2="old tax regime","2,50,001 से 3,00,000 तक","3,00,001 से 6,00,000 तक")</f>
        <v>2,50,001 से 3,00,000 तक</v>
      </c>
      <c r="D52" s="545"/>
      <c r="E52" s="545"/>
      <c r="F52" s="545"/>
      <c r="G52" s="545"/>
      <c r="H52" s="546"/>
      <c r="I52" s="547" t="str">
        <f t="shared" ref="I52" si="4">IF($N$2="old tax regime","5%","5% (With Tax Rebate Under Sec.87A)")</f>
        <v>5%</v>
      </c>
      <c r="J52" s="548"/>
      <c r="K52" s="547" t="str">
        <f>IF($N$2="old tax regime","Nil","5% (With Tax Rebate Under Sec.87A)")</f>
        <v>Nil</v>
      </c>
      <c r="L52" s="548"/>
      <c r="M52" s="547" t="str">
        <f>IF($N$2="old tax regime","Nil","5% (With Tax Rebate Under Sec.87A)")</f>
        <v>Nil</v>
      </c>
      <c r="N52" s="549"/>
      <c r="O52" s="548"/>
      <c r="P52" s="53" t="s">
        <v>114</v>
      </c>
      <c r="Q52" s="71">
        <f>IF($AG$48="OA",AH43,IF($AG$48="OB",AH44,IF($AG$48="OC",AH45,0)))</f>
        <v>2500</v>
      </c>
      <c r="R52" s="580"/>
      <c r="S52" s="97"/>
      <c r="T52" s="633"/>
      <c r="U52" s="633"/>
      <c r="V52" s="633"/>
      <c r="W52" s="633"/>
      <c r="X52" s="633"/>
      <c r="Y52" s="633"/>
      <c r="Z52" s="633"/>
      <c r="AE52" s="93"/>
      <c r="AF52" s="93"/>
      <c r="AG52" s="93"/>
      <c r="AH52" s="93"/>
      <c r="AI52" s="93"/>
      <c r="AJ52" s="93"/>
      <c r="AK52" s="106"/>
      <c r="AL52" s="106"/>
      <c r="AM52" s="106"/>
      <c r="AN52" s="106"/>
    </row>
    <row r="53" spans="1:40" ht="21.75" customHeight="1">
      <c r="A53" s="596"/>
      <c r="B53" s="543"/>
      <c r="C53" s="544" t="str">
        <f>IF($N$2="old tax regime","3,00,001 से 5,00,000 तक","6,00,001 से 9,00,000 तक")</f>
        <v>3,00,001 से 5,00,000 तक</v>
      </c>
      <c r="D53" s="545"/>
      <c r="E53" s="545"/>
      <c r="F53" s="545"/>
      <c r="G53" s="545"/>
      <c r="H53" s="546"/>
      <c r="I53" s="547" t="str">
        <f>IF($N$2="old tax regime","5%","10% (With Tax Rebate Under Sec.87A Up to Rs. 7 Lakh.)")</f>
        <v>5%</v>
      </c>
      <c r="J53" s="548"/>
      <c r="K53" s="547" t="str">
        <f>IF($N$2="old tax regime","5%","10% (With Tax Rebate Under Sec.87A Up to Rs. 7 Lakh.)")</f>
        <v>5%</v>
      </c>
      <c r="L53" s="548"/>
      <c r="M53" s="547" t="str">
        <f>IF($N$2="old tax regime","Nil","10% (With Tax Rebate Under Sec.87A Up to Rs. 7 Lakh.)")</f>
        <v>Nil</v>
      </c>
      <c r="N53" s="549"/>
      <c r="O53" s="548"/>
      <c r="P53" s="53" t="s">
        <v>114</v>
      </c>
      <c r="Q53" s="71">
        <f>IF($AG$48="OA",AI43,IF($AG$48="OB",AI44,IF($AG$48="OC",AI45,0)))</f>
        <v>10000</v>
      </c>
      <c r="R53" s="580"/>
      <c r="S53" s="97"/>
      <c r="T53" s="633"/>
      <c r="U53" s="633"/>
      <c r="V53" s="633"/>
      <c r="W53" s="633"/>
      <c r="X53" s="633"/>
      <c r="Y53" s="633"/>
      <c r="Z53" s="633"/>
      <c r="AE53" s="93"/>
      <c r="AF53" s="93"/>
      <c r="AG53" s="93"/>
      <c r="AH53" s="93"/>
      <c r="AI53" s="93"/>
      <c r="AJ53" s="94"/>
      <c r="AK53" s="196"/>
      <c r="AL53" s="196"/>
      <c r="AM53" s="196"/>
      <c r="AN53" s="106"/>
    </row>
    <row r="54" spans="1:40" ht="12" customHeight="1">
      <c r="A54" s="596"/>
      <c r="B54" s="543"/>
      <c r="C54" s="544" t="str">
        <f>IF($N$2="old tax regime","5,00,001 से 10,00,000 तक","9,00,001 से 12,00,000 तक")</f>
        <v>5,00,001 से 10,00,000 तक</v>
      </c>
      <c r="D54" s="545"/>
      <c r="E54" s="545"/>
      <c r="F54" s="545"/>
      <c r="G54" s="545"/>
      <c r="H54" s="546"/>
      <c r="I54" s="544" t="str">
        <f t="shared" ref="I54" si="5">IF($N$2="old tax regime","20%","15%")</f>
        <v>20%</v>
      </c>
      <c r="J54" s="546"/>
      <c r="K54" s="544" t="str">
        <f>IF($N$2="old tax regime","20%","15%")</f>
        <v>20%</v>
      </c>
      <c r="L54" s="546"/>
      <c r="M54" s="544" t="str">
        <f>IF($N$2="old tax regime","20%","15%")</f>
        <v>20%</v>
      </c>
      <c r="N54" s="545"/>
      <c r="O54" s="546"/>
      <c r="P54" s="53" t="s">
        <v>114</v>
      </c>
      <c r="Q54" s="71">
        <f>IF($AG$48="OA",AJ43,IF($AG$48="OB",AJ44,IF($AG$48="OC",AJ45,0)))</f>
        <v>10398</v>
      </c>
      <c r="R54" s="580"/>
      <c r="S54" s="97"/>
      <c r="T54" s="633"/>
      <c r="U54" s="633"/>
      <c r="V54" s="633"/>
      <c r="W54" s="633"/>
      <c r="X54" s="633"/>
      <c r="Y54" s="633"/>
      <c r="Z54" s="633"/>
      <c r="AE54" s="93"/>
      <c r="AF54" s="93"/>
      <c r="AG54" s="93"/>
      <c r="AH54" s="93"/>
      <c r="AI54" s="93"/>
      <c r="AJ54" s="93"/>
      <c r="AK54" s="106"/>
      <c r="AL54" s="106"/>
      <c r="AM54" s="106"/>
      <c r="AN54" s="106"/>
    </row>
    <row r="55" spans="1:40" ht="12" customHeight="1">
      <c r="A55" s="596"/>
      <c r="B55" s="543"/>
      <c r="C55" s="544" t="str">
        <f>IF($N$2="old tax regime","10,00,001 अथवा इससे ऊपर","12,00,001 से 15,00,000 तक")</f>
        <v>10,00,001 अथवा इससे ऊपर</v>
      </c>
      <c r="D55" s="545"/>
      <c r="E55" s="545"/>
      <c r="F55" s="545"/>
      <c r="G55" s="545"/>
      <c r="H55" s="546"/>
      <c r="I55" s="544" t="str">
        <f>IF($N$2="old tax regime","30%","20%")</f>
        <v>30%</v>
      </c>
      <c r="J55" s="546"/>
      <c r="K55" s="544" t="str">
        <f>IF($N$2="old tax regime","30%","20%")</f>
        <v>30%</v>
      </c>
      <c r="L55" s="546"/>
      <c r="M55" s="544" t="str">
        <f>IF($N$2="old tax regime","30%","20%")</f>
        <v>30%</v>
      </c>
      <c r="N55" s="545"/>
      <c r="O55" s="546"/>
      <c r="P55" s="53" t="s">
        <v>114</v>
      </c>
      <c r="Q55" s="70">
        <f>IF($AG$48="OA",AK43,IF($AG$48="OB",AK44,IF($AG$48="OC",AK45,0)))</f>
        <v>0</v>
      </c>
      <c r="R55" s="580"/>
      <c r="S55" s="97"/>
      <c r="T55" s="633"/>
      <c r="U55" s="633"/>
      <c r="V55" s="633"/>
      <c r="W55" s="633"/>
      <c r="X55" s="633"/>
      <c r="Y55" s="633"/>
      <c r="Z55" s="633"/>
      <c r="AE55" s="93"/>
      <c r="AF55" s="93"/>
      <c r="AG55" s="93"/>
      <c r="AH55" s="93"/>
      <c r="AI55" s="93"/>
      <c r="AJ55" s="93"/>
      <c r="AK55" s="106"/>
      <c r="AL55" s="106"/>
      <c r="AM55" s="106"/>
      <c r="AN55" s="106"/>
    </row>
    <row r="56" spans="1:40" ht="12" customHeight="1">
      <c r="A56" s="596"/>
      <c r="B56" s="543"/>
      <c r="C56" s="544" t="str">
        <f t="shared" ref="C56" si="6">IF($N$2="old tax regime","----","15,00,001 अथवा इससे ऊपर")</f>
        <v>----</v>
      </c>
      <c r="D56" s="545"/>
      <c r="E56" s="545"/>
      <c r="F56" s="545"/>
      <c r="G56" s="545"/>
      <c r="H56" s="546"/>
      <c r="I56" s="544" t="str">
        <f t="shared" ref="I56" si="7">IF($N$2="old tax regime","----","30%")</f>
        <v>----</v>
      </c>
      <c r="J56" s="546"/>
      <c r="K56" s="544" t="str">
        <f>IF($N$2="old tax regime","----","30%")</f>
        <v>----</v>
      </c>
      <c r="L56" s="546"/>
      <c r="M56" s="544" t="str">
        <f>IF($N$2="old tax regime","----","30%")</f>
        <v>----</v>
      </c>
      <c r="N56" s="545"/>
      <c r="O56" s="546"/>
      <c r="P56" s="53" t="s">
        <v>114</v>
      </c>
      <c r="Q56" s="70">
        <f>IF($AE$48="O",0,AL55)</f>
        <v>0</v>
      </c>
      <c r="R56" s="580"/>
      <c r="S56" s="97"/>
      <c r="T56" s="633"/>
      <c r="U56" s="633"/>
      <c r="V56" s="633"/>
      <c r="W56" s="633"/>
      <c r="X56" s="633"/>
      <c r="Y56" s="633"/>
      <c r="Z56" s="633"/>
      <c r="AE56" s="93"/>
      <c r="AF56" s="93"/>
      <c r="AG56" s="93"/>
      <c r="AH56" s="93"/>
      <c r="AI56" s="93"/>
      <c r="AJ56" s="93"/>
      <c r="AK56" s="106"/>
      <c r="AL56" s="106"/>
      <c r="AM56" s="106"/>
      <c r="AN56" s="106"/>
    </row>
    <row r="57" spans="1:40" ht="14.25" customHeight="1">
      <c r="A57" s="596"/>
      <c r="B57" s="543"/>
      <c r="C57" s="494" t="s">
        <v>195</v>
      </c>
      <c r="D57" s="494"/>
      <c r="E57" s="494"/>
      <c r="F57" s="494"/>
      <c r="G57" s="494"/>
      <c r="H57" s="494"/>
      <c r="I57" s="494"/>
      <c r="J57" s="494"/>
      <c r="K57" s="494"/>
      <c r="L57" s="494"/>
      <c r="M57" s="494"/>
      <c r="N57" s="494"/>
      <c r="O57" s="494"/>
      <c r="P57" s="53" t="s">
        <v>114</v>
      </c>
      <c r="Q57" s="72">
        <f>SUM(Q51:Q56)</f>
        <v>22898</v>
      </c>
      <c r="R57" s="580"/>
      <c r="S57" s="97"/>
      <c r="T57" s="633"/>
      <c r="U57" s="633"/>
      <c r="V57" s="633"/>
      <c r="W57" s="633"/>
      <c r="X57" s="633"/>
      <c r="Y57" s="633"/>
      <c r="Z57" s="633"/>
    </row>
    <row r="58" spans="1:40" ht="14.25" customHeight="1">
      <c r="A58" s="596"/>
      <c r="B58" s="543"/>
      <c r="C58" s="609" t="s">
        <v>256</v>
      </c>
      <c r="D58" s="609"/>
      <c r="E58" s="609"/>
      <c r="F58" s="609"/>
      <c r="G58" s="609"/>
      <c r="H58" s="609"/>
      <c r="I58" s="609"/>
      <c r="J58" s="609"/>
      <c r="K58" s="609"/>
      <c r="L58" s="609"/>
      <c r="M58" s="609"/>
      <c r="N58" s="609"/>
      <c r="O58" s="609"/>
      <c r="P58" s="53" t="s">
        <v>114</v>
      </c>
      <c r="Q58" s="71">
        <f>IF(AND(AE48="o",Q57&lt;=12500),Q57,IF(AND(AE48="n",Q57&lt;=25000),Q57,0))</f>
        <v>0</v>
      </c>
      <c r="R58" s="580"/>
      <c r="S58" s="97"/>
      <c r="T58" s="633"/>
      <c r="U58" s="633"/>
      <c r="V58" s="633"/>
      <c r="W58" s="633"/>
      <c r="X58" s="633"/>
      <c r="Y58" s="633"/>
      <c r="Z58" s="633"/>
    </row>
    <row r="59" spans="1:40" ht="14.25" customHeight="1">
      <c r="A59" s="596"/>
      <c r="B59" s="543"/>
      <c r="C59" s="494" t="s">
        <v>197</v>
      </c>
      <c r="D59" s="494"/>
      <c r="E59" s="494"/>
      <c r="F59" s="494"/>
      <c r="G59" s="494"/>
      <c r="H59" s="494"/>
      <c r="I59" s="494"/>
      <c r="J59" s="494"/>
      <c r="K59" s="494"/>
      <c r="L59" s="494"/>
      <c r="M59" s="494"/>
      <c r="N59" s="494"/>
      <c r="O59" s="494"/>
      <c r="P59" s="53" t="s">
        <v>114</v>
      </c>
      <c r="Q59" s="72">
        <f>Q57-Q58</f>
        <v>22898</v>
      </c>
      <c r="R59" s="580"/>
      <c r="S59" s="97"/>
      <c r="T59" s="633"/>
      <c r="U59" s="633"/>
      <c r="V59" s="633"/>
      <c r="W59" s="633"/>
      <c r="X59" s="633"/>
      <c r="Y59" s="633"/>
      <c r="Z59" s="633"/>
    </row>
    <row r="60" spans="1:40" ht="24.75" customHeight="1">
      <c r="A60" s="596"/>
      <c r="B60" s="543"/>
      <c r="C60" s="704" t="s">
        <v>290</v>
      </c>
      <c r="D60" s="494"/>
      <c r="E60" s="494"/>
      <c r="F60" s="494"/>
      <c r="G60" s="494"/>
      <c r="H60" s="494"/>
      <c r="I60" s="494"/>
      <c r="J60" s="494"/>
      <c r="K60" s="494"/>
      <c r="L60" s="494"/>
      <c r="M60" s="494"/>
      <c r="N60" s="494"/>
      <c r="O60" s="494"/>
      <c r="P60" s="53" t="s">
        <v>114</v>
      </c>
      <c r="Q60" s="72">
        <f>IF($AG$48="OA",AM43,IF($AG$48="OB",AM44,IF($AG$48="OC",AM45,0)))</f>
        <v>0</v>
      </c>
      <c r="R60" s="580"/>
      <c r="S60" s="262"/>
      <c r="T60" s="633"/>
      <c r="U60" s="633"/>
      <c r="V60" s="633"/>
      <c r="W60" s="633"/>
      <c r="X60" s="633"/>
      <c r="Y60" s="633"/>
      <c r="Z60" s="633"/>
      <c r="AB60" s="212"/>
      <c r="AC60" s="212"/>
      <c r="AD60" s="212"/>
    </row>
    <row r="61" spans="1:40" ht="14.25" customHeight="1">
      <c r="A61" s="596"/>
      <c r="B61" s="543"/>
      <c r="C61" s="495" t="s">
        <v>280</v>
      </c>
      <c r="D61" s="495"/>
      <c r="E61" s="495"/>
      <c r="F61" s="495"/>
      <c r="G61" s="495"/>
      <c r="H61" s="495"/>
      <c r="I61" s="495"/>
      <c r="J61" s="495"/>
      <c r="K61" s="495"/>
      <c r="L61" s="495"/>
      <c r="M61" s="495"/>
      <c r="N61" s="495"/>
      <c r="O61" s="495"/>
      <c r="P61" s="53" t="s">
        <v>114</v>
      </c>
      <c r="Q61" s="72">
        <f>SUM(Q59:Q60)</f>
        <v>22898</v>
      </c>
      <c r="R61" s="580"/>
      <c r="S61" s="262"/>
      <c r="T61" s="633"/>
      <c r="U61" s="633"/>
      <c r="V61" s="633"/>
      <c r="W61" s="633"/>
      <c r="X61" s="633"/>
      <c r="Y61" s="633"/>
      <c r="Z61" s="633"/>
      <c r="AB61" s="212"/>
      <c r="AC61" s="212"/>
      <c r="AD61" s="212"/>
    </row>
    <row r="62" spans="1:40" ht="14.25" customHeight="1">
      <c r="A62" s="596"/>
      <c r="B62" s="543"/>
      <c r="C62" s="535" t="s">
        <v>281</v>
      </c>
      <c r="D62" s="535"/>
      <c r="E62" s="535"/>
      <c r="F62" s="535"/>
      <c r="G62" s="535"/>
      <c r="H62" s="535"/>
      <c r="I62" s="535"/>
      <c r="J62" s="535"/>
      <c r="K62" s="535"/>
      <c r="L62" s="535"/>
      <c r="M62" s="535"/>
      <c r="N62" s="535"/>
      <c r="O62" s="535"/>
      <c r="P62" s="53" t="s">
        <v>114</v>
      </c>
      <c r="Q62" s="71">
        <f>ROUND(Q59*0.04,0)</f>
        <v>916</v>
      </c>
      <c r="R62" s="580"/>
      <c r="S62" s="97"/>
      <c r="T62" s="633"/>
      <c r="U62" s="633"/>
      <c r="V62" s="633"/>
      <c r="W62" s="633"/>
      <c r="X62" s="633"/>
      <c r="Y62" s="633"/>
      <c r="Z62" s="633"/>
    </row>
    <row r="63" spans="1:40" ht="12.75" customHeight="1">
      <c r="A63" s="596"/>
      <c r="B63" s="543"/>
      <c r="C63" s="536" t="s">
        <v>282</v>
      </c>
      <c r="D63" s="537"/>
      <c r="E63" s="537"/>
      <c r="F63" s="537"/>
      <c r="G63" s="537"/>
      <c r="H63" s="537"/>
      <c r="I63" s="537"/>
      <c r="J63" s="537"/>
      <c r="K63" s="537"/>
      <c r="L63" s="537"/>
      <c r="M63" s="537"/>
      <c r="N63" s="537"/>
      <c r="O63" s="538"/>
      <c r="P63" s="53" t="s">
        <v>114</v>
      </c>
      <c r="Q63" s="72">
        <f>Q61+Q62</f>
        <v>23814</v>
      </c>
      <c r="R63" s="580"/>
      <c r="S63" s="97"/>
      <c r="T63" s="633"/>
      <c r="U63" s="633"/>
      <c r="V63" s="633"/>
      <c r="W63" s="633"/>
      <c r="X63" s="633"/>
      <c r="Y63" s="633"/>
      <c r="Z63" s="633"/>
    </row>
    <row r="64" spans="1:40" ht="14.25" customHeight="1">
      <c r="A64" s="596"/>
      <c r="B64" s="99">
        <v>17</v>
      </c>
      <c r="C64" s="539" t="s">
        <v>200</v>
      </c>
      <c r="D64" s="539"/>
      <c r="E64" s="539"/>
      <c r="F64" s="539"/>
      <c r="G64" s="539"/>
      <c r="H64" s="539"/>
      <c r="I64" s="539"/>
      <c r="J64" s="539"/>
      <c r="K64" s="539"/>
      <c r="L64" s="539"/>
      <c r="M64" s="539"/>
      <c r="N64" s="539"/>
      <c r="O64" s="539"/>
      <c r="P64" s="53" t="s">
        <v>114</v>
      </c>
      <c r="Q64" s="71">
        <f>'Exemp.(HRA+Other) &amp; Other incom'!Q26</f>
        <v>0</v>
      </c>
      <c r="R64" s="580"/>
      <c r="S64" s="97"/>
      <c r="T64" s="633"/>
      <c r="U64" s="633"/>
      <c r="V64" s="633"/>
      <c r="W64" s="633"/>
      <c r="X64" s="633"/>
      <c r="Y64" s="633"/>
      <c r="Z64" s="633"/>
    </row>
    <row r="65" spans="1:30" ht="14.25" customHeight="1">
      <c r="A65" s="596"/>
      <c r="B65" s="523">
        <v>18</v>
      </c>
      <c r="C65" s="540" t="s">
        <v>201</v>
      </c>
      <c r="D65" s="540"/>
      <c r="E65" s="540"/>
      <c r="F65" s="540"/>
      <c r="G65" s="540"/>
      <c r="H65" s="540"/>
      <c r="I65" s="540"/>
      <c r="J65" s="540"/>
      <c r="K65" s="540"/>
      <c r="L65" s="540"/>
      <c r="M65" s="540"/>
      <c r="N65" s="540"/>
      <c r="O65" s="540"/>
      <c r="P65" s="53" t="s">
        <v>114</v>
      </c>
      <c r="Q65" s="72">
        <f>Q63-Q64</f>
        <v>23814</v>
      </c>
      <c r="R65" s="580"/>
      <c r="S65" s="97"/>
      <c r="T65" s="633"/>
      <c r="U65" s="633"/>
      <c r="V65" s="633"/>
      <c r="W65" s="633"/>
      <c r="X65" s="633"/>
      <c r="Y65" s="633"/>
      <c r="Z65" s="633"/>
    </row>
    <row r="66" spans="1:30" ht="14.25" customHeight="1" thickBot="1">
      <c r="A66" s="596"/>
      <c r="B66" s="524"/>
      <c r="C66" s="541" t="s">
        <v>202</v>
      </c>
      <c r="D66" s="541"/>
      <c r="E66" s="541"/>
      <c r="F66" s="541"/>
      <c r="G66" s="541"/>
      <c r="H66" s="541"/>
      <c r="I66" s="541"/>
      <c r="J66" s="541"/>
      <c r="K66" s="541"/>
      <c r="L66" s="541"/>
      <c r="M66" s="541"/>
      <c r="N66" s="541"/>
      <c r="O66" s="541"/>
      <c r="P66" s="57" t="s">
        <v>114</v>
      </c>
      <c r="Q66" s="69">
        <f>ROUND(Q65,-1)</f>
        <v>23810</v>
      </c>
      <c r="R66" s="580"/>
      <c r="S66" s="97"/>
      <c r="T66" s="633"/>
      <c r="U66" s="633"/>
      <c r="V66" s="633"/>
      <c r="W66" s="633"/>
      <c r="X66" s="633"/>
      <c r="Y66" s="633"/>
      <c r="Z66" s="633"/>
    </row>
    <row r="67" spans="1:30" ht="44.25" customHeight="1">
      <c r="A67" s="596"/>
      <c r="B67" s="522">
        <v>19</v>
      </c>
      <c r="C67" s="525" t="s">
        <v>146</v>
      </c>
      <c r="D67" s="528" t="s">
        <v>267</v>
      </c>
      <c r="E67" s="528"/>
      <c r="F67" s="528" t="s">
        <v>268</v>
      </c>
      <c r="G67" s="528"/>
      <c r="H67" s="528"/>
      <c r="I67" s="210" t="s">
        <v>269</v>
      </c>
      <c r="J67" s="209" t="s">
        <v>270</v>
      </c>
      <c r="K67" s="209" t="s">
        <v>271</v>
      </c>
      <c r="L67" s="209" t="s">
        <v>272</v>
      </c>
      <c r="M67" s="529" t="s">
        <v>209</v>
      </c>
      <c r="N67" s="529"/>
      <c r="O67" s="101" t="s">
        <v>210</v>
      </c>
      <c r="P67" s="530" t="s">
        <v>211</v>
      </c>
      <c r="Q67" s="531"/>
      <c r="R67" s="580"/>
      <c r="S67" s="97"/>
      <c r="T67" s="633"/>
      <c r="U67" s="633"/>
      <c r="V67" s="633"/>
      <c r="W67" s="633"/>
      <c r="X67" s="633"/>
      <c r="Y67" s="633"/>
      <c r="Z67" s="633"/>
    </row>
    <row r="68" spans="1:30" s="10" customFormat="1" ht="13.5" customHeight="1">
      <c r="A68" s="596"/>
      <c r="B68" s="523"/>
      <c r="C68" s="526"/>
      <c r="D68" s="532">
        <f>SUM('GA-55'!AA9:AA11)</f>
        <v>0</v>
      </c>
      <c r="E68" s="532"/>
      <c r="F68" s="532">
        <f>SUM('GA-55'!AA12:AA14)</f>
        <v>0</v>
      </c>
      <c r="G68" s="532"/>
      <c r="H68" s="532"/>
      <c r="I68" s="102">
        <f>SUM('GA-55'!AA15:AA17)</f>
        <v>0</v>
      </c>
      <c r="J68" s="102">
        <f>'GA-55'!AA18</f>
        <v>0</v>
      </c>
      <c r="K68" s="102">
        <f>'GA-55'!AA19</f>
        <v>0</v>
      </c>
      <c r="L68" s="102">
        <f>'GA-55'!AA20</f>
        <v>0</v>
      </c>
      <c r="M68" s="532">
        <f>SUM('GA-55'!AA21:AA30)</f>
        <v>0</v>
      </c>
      <c r="N68" s="533"/>
      <c r="O68" s="102">
        <f>'Basic Deta'!N19</f>
        <v>0</v>
      </c>
      <c r="P68" s="89" t="s">
        <v>114</v>
      </c>
      <c r="Q68" s="90">
        <f>SUM(D68:O68)</f>
        <v>0</v>
      </c>
      <c r="R68" s="580"/>
      <c r="S68" s="97"/>
      <c r="T68" s="633"/>
      <c r="U68" s="633"/>
      <c r="V68" s="633"/>
      <c r="W68" s="633"/>
      <c r="X68" s="633"/>
      <c r="Y68" s="633"/>
      <c r="Z68" s="633"/>
      <c r="AA68" s="703"/>
      <c r="AB68" s="106"/>
      <c r="AC68" s="106"/>
      <c r="AD68" s="106"/>
    </row>
    <row r="69" spans="1:30" ht="23.25" customHeight="1" thickBot="1">
      <c r="A69" s="596"/>
      <c r="B69" s="524"/>
      <c r="C69" s="527"/>
      <c r="D69" s="638" t="s">
        <v>286</v>
      </c>
      <c r="E69" s="534"/>
      <c r="F69" s="534"/>
      <c r="G69" s="534"/>
      <c r="H69" s="534"/>
      <c r="I69" s="534"/>
      <c r="J69" s="534"/>
      <c r="K69" s="534"/>
      <c r="L69" s="519" t="str">
        <f>IF(Q68&gt;Q66,"(Refundable)","(Payble)")</f>
        <v>(Payble)</v>
      </c>
      <c r="M69" s="519"/>
      <c r="N69" s="519"/>
      <c r="O69" s="519"/>
      <c r="P69" s="57" t="s">
        <v>114</v>
      </c>
      <c r="Q69" s="69">
        <f>Q68-Q66</f>
        <v>-23810</v>
      </c>
      <c r="R69" s="580"/>
      <c r="S69" s="97"/>
      <c r="T69" s="633"/>
      <c r="U69" s="633"/>
      <c r="V69" s="633"/>
      <c r="W69" s="633"/>
      <c r="X69" s="633"/>
      <c r="Y69" s="633"/>
      <c r="Z69" s="633"/>
    </row>
    <row r="70" spans="1:30" ht="9.75" customHeight="1">
      <c r="A70" s="596"/>
      <c r="B70" s="520" t="str">
        <f>'GA-55'!B32</f>
        <v>Siganture of Employee()</v>
      </c>
      <c r="C70" s="520"/>
      <c r="D70" s="520"/>
      <c r="E70" s="520"/>
      <c r="F70" s="520"/>
      <c r="G70" s="520"/>
      <c r="H70" s="520"/>
      <c r="I70" s="520"/>
      <c r="J70" s="520"/>
      <c r="K70" s="520" t="str">
        <f>'GA-55'!P32</f>
        <v>Signature of DDO ()</v>
      </c>
      <c r="L70" s="520"/>
      <c r="M70" s="520"/>
      <c r="N70" s="520"/>
      <c r="O70" s="520"/>
      <c r="P70" s="520"/>
      <c r="Q70" s="520"/>
      <c r="R70" s="580"/>
      <c r="S70" s="97"/>
      <c r="T70" s="633"/>
      <c r="U70" s="633"/>
      <c r="V70" s="633"/>
      <c r="W70" s="633"/>
      <c r="X70" s="633"/>
      <c r="Y70" s="633"/>
      <c r="Z70" s="633"/>
    </row>
    <row r="71" spans="1:30" ht="15.75" customHeight="1">
      <c r="A71" s="596"/>
      <c r="B71" s="521"/>
      <c r="C71" s="521"/>
      <c r="D71" s="521"/>
      <c r="E71" s="521"/>
      <c r="F71" s="521"/>
      <c r="G71" s="521"/>
      <c r="H71" s="521"/>
      <c r="I71" s="521"/>
      <c r="J71" s="521"/>
      <c r="K71" s="521"/>
      <c r="L71" s="521"/>
      <c r="M71" s="521"/>
      <c r="N71" s="521"/>
      <c r="O71" s="521"/>
      <c r="P71" s="521"/>
      <c r="Q71" s="521"/>
      <c r="R71" s="580"/>
      <c r="S71" s="97"/>
      <c r="T71" s="633"/>
      <c r="U71" s="633"/>
      <c r="V71" s="633"/>
      <c r="W71" s="633"/>
      <c r="X71" s="633"/>
      <c r="Y71" s="633"/>
      <c r="Z71" s="633"/>
    </row>
    <row r="72" spans="1:30" ht="22.5" hidden="1" customHeight="1">
      <c r="T72" s="633"/>
      <c r="U72" s="633"/>
      <c r="V72" s="633"/>
      <c r="W72" s="633"/>
      <c r="X72" s="633"/>
      <c r="Y72" s="633"/>
      <c r="Z72" s="633"/>
    </row>
    <row r="73" spans="1:30" hidden="1"/>
  </sheetData>
  <sheetProtection password="E8FA" sheet="1" objects="1" scenarios="1" formatCells="0" formatColumns="0" formatRows="0" selectLockedCells="1"/>
  <mergeCells count="150">
    <mergeCell ref="C60:O60"/>
    <mergeCell ref="C61:O61"/>
    <mergeCell ref="T8:W10"/>
    <mergeCell ref="X8:Z10"/>
    <mergeCell ref="T11:Z11"/>
    <mergeCell ref="T12:W14"/>
    <mergeCell ref="T1:Z1"/>
    <mergeCell ref="X12:Z14"/>
    <mergeCell ref="T15:Z15"/>
    <mergeCell ref="T2:Z7"/>
    <mergeCell ref="T16:Z72"/>
    <mergeCell ref="S8:S10"/>
    <mergeCell ref="S12:S14"/>
    <mergeCell ref="K27:M27"/>
    <mergeCell ref="B70:J71"/>
    <mergeCell ref="K70:Q71"/>
    <mergeCell ref="R1:R71"/>
    <mergeCell ref="A1:A71"/>
    <mergeCell ref="C66:O66"/>
    <mergeCell ref="C67:C69"/>
    <mergeCell ref="B67:B69"/>
    <mergeCell ref="B65:B66"/>
    <mergeCell ref="D67:E67"/>
    <mergeCell ref="F67:H67"/>
    <mergeCell ref="D68:E68"/>
    <mergeCell ref="F68:H68"/>
    <mergeCell ref="D69:K69"/>
    <mergeCell ref="L69:O69"/>
    <mergeCell ref="P67:Q67"/>
    <mergeCell ref="M68:N68"/>
    <mergeCell ref="C59:O59"/>
    <mergeCell ref="C62:O62"/>
    <mergeCell ref="C63:O63"/>
    <mergeCell ref="C64:O64"/>
    <mergeCell ref="C65:O65"/>
    <mergeCell ref="C46:O46"/>
    <mergeCell ref="C47:O47"/>
    <mergeCell ref="C48:O48"/>
    <mergeCell ref="I50:J50"/>
    <mergeCell ref="C50:H50"/>
    <mergeCell ref="M50:O50"/>
    <mergeCell ref="K50:L50"/>
    <mergeCell ref="M67:N67"/>
    <mergeCell ref="B49:B63"/>
    <mergeCell ref="C49:Q49"/>
    <mergeCell ref="C57:O57"/>
    <mergeCell ref="C58:O58"/>
    <mergeCell ref="C56:H56"/>
    <mergeCell ref="C55:H55"/>
    <mergeCell ref="C54:H54"/>
    <mergeCell ref="C53:H53"/>
    <mergeCell ref="C52:H52"/>
    <mergeCell ref="C51:H51"/>
    <mergeCell ref="K51:L51"/>
    <mergeCell ref="K52:L52"/>
    <mergeCell ref="K53:L53"/>
    <mergeCell ref="K54:L54"/>
    <mergeCell ref="K55:L55"/>
    <mergeCell ref="K56:L56"/>
    <mergeCell ref="C34:O34"/>
    <mergeCell ref="C35:O35"/>
    <mergeCell ref="B36:B45"/>
    <mergeCell ref="C36:Q36"/>
    <mergeCell ref="C37:O37"/>
    <mergeCell ref="C38:O38"/>
    <mergeCell ref="C39:O39"/>
    <mergeCell ref="C40:O40"/>
    <mergeCell ref="C41:O41"/>
    <mergeCell ref="C42:O42"/>
    <mergeCell ref="C43:O43"/>
    <mergeCell ref="C44:O44"/>
    <mergeCell ref="C45:O45"/>
    <mergeCell ref="C20:O20"/>
    <mergeCell ref="B21:B35"/>
    <mergeCell ref="C21:Q21"/>
    <mergeCell ref="C22:Q22"/>
    <mergeCell ref="D23:G23"/>
    <mergeCell ref="P23:Q32"/>
    <mergeCell ref="D24:G24"/>
    <mergeCell ref="D25:G25"/>
    <mergeCell ref="K25:M25"/>
    <mergeCell ref="D26:G26"/>
    <mergeCell ref="K26:M26"/>
    <mergeCell ref="D27:G27"/>
    <mergeCell ref="D30:G30"/>
    <mergeCell ref="K30:M30"/>
    <mergeCell ref="D31:G31"/>
    <mergeCell ref="K31:M31"/>
    <mergeCell ref="C32:M32"/>
    <mergeCell ref="C33:O33"/>
    <mergeCell ref="D28:G28"/>
    <mergeCell ref="K28:M28"/>
    <mergeCell ref="D29:G29"/>
    <mergeCell ref="K23:M23"/>
    <mergeCell ref="K24:M24"/>
    <mergeCell ref="K29:M29"/>
    <mergeCell ref="B16:B18"/>
    <mergeCell ref="C16:C18"/>
    <mergeCell ref="E16:O16"/>
    <mergeCell ref="E17:O17"/>
    <mergeCell ref="E18:O18"/>
    <mergeCell ref="C19:O19"/>
    <mergeCell ref="C14:O14"/>
    <mergeCell ref="C15:O15"/>
    <mergeCell ref="B11:B13"/>
    <mergeCell ref="C11:J11"/>
    <mergeCell ref="K11:L11"/>
    <mergeCell ref="M11:O11"/>
    <mergeCell ref="P11:Q13"/>
    <mergeCell ref="C12:D13"/>
    <mergeCell ref="E12:G12"/>
    <mergeCell ref="H12:J12"/>
    <mergeCell ref="K12:L12"/>
    <mergeCell ref="M12:O12"/>
    <mergeCell ref="P7:Q8"/>
    <mergeCell ref="C8:L8"/>
    <mergeCell ref="M8:O8"/>
    <mergeCell ref="C9:L9"/>
    <mergeCell ref="M9:O9"/>
    <mergeCell ref="C10:O10"/>
    <mergeCell ref="E13:G13"/>
    <mergeCell ref="H13:J13"/>
    <mergeCell ref="K13:L13"/>
    <mergeCell ref="M13:O13"/>
    <mergeCell ref="C4:O4"/>
    <mergeCell ref="C5:O5"/>
    <mergeCell ref="C6:O6"/>
    <mergeCell ref="B7:B9"/>
    <mergeCell ref="C7:L7"/>
    <mergeCell ref="M7:O7"/>
    <mergeCell ref="B1:Q1"/>
    <mergeCell ref="C3:D3"/>
    <mergeCell ref="E3:J3"/>
    <mergeCell ref="L3:N3"/>
    <mergeCell ref="P3:Q3"/>
    <mergeCell ref="N2:Q2"/>
    <mergeCell ref="B2:J2"/>
    <mergeCell ref="K2:M2"/>
    <mergeCell ref="M56:O56"/>
    <mergeCell ref="I56:J56"/>
    <mergeCell ref="M51:O51"/>
    <mergeCell ref="M52:O52"/>
    <mergeCell ref="M53:O53"/>
    <mergeCell ref="M54:O54"/>
    <mergeCell ref="M55:O55"/>
    <mergeCell ref="I51:J51"/>
    <mergeCell ref="I52:J52"/>
    <mergeCell ref="I53:J53"/>
    <mergeCell ref="I54:J54"/>
    <mergeCell ref="I55:J55"/>
  </mergeCells>
  <conditionalFormatting sqref="L69:O69">
    <cfRule type="cellIs" dxfId="10" priority="10" operator="equal">
      <formula>"(Payble)"</formula>
    </cfRule>
    <cfRule type="cellIs" dxfId="9" priority="11" operator="equal">
      <formula>"(Refundable)"</formula>
    </cfRule>
  </conditionalFormatting>
  <conditionalFormatting sqref="Q69">
    <cfRule type="cellIs" dxfId="8" priority="8" operator="lessThan">
      <formula>0</formula>
    </cfRule>
    <cfRule type="cellIs" dxfId="7" priority="9" operator="greaterThan">
      <formula>0</formula>
    </cfRule>
  </conditionalFormatting>
  <conditionalFormatting sqref="P55:Q56">
    <cfRule type="expression" dxfId="6" priority="7">
      <formula>$C$56="----"</formula>
    </cfRule>
  </conditionalFormatting>
  <conditionalFormatting sqref="S8:Z10">
    <cfRule type="expression" dxfId="5" priority="4">
      <formula>$S8=0</formula>
    </cfRule>
    <cfRule type="expression" dxfId="4" priority="5">
      <formula>$S8&gt;0</formula>
    </cfRule>
    <cfRule type="expression" dxfId="3" priority="6">
      <formula>$S8&lt;0</formula>
    </cfRule>
  </conditionalFormatting>
  <conditionalFormatting sqref="S12:Z14">
    <cfRule type="expression" dxfId="2" priority="1">
      <formula>$S12=0</formula>
    </cfRule>
    <cfRule type="expression" dxfId="1" priority="2">
      <formula>$S12&gt;0</formula>
    </cfRule>
    <cfRule type="expression" dxfId="0" priority="3">
      <formula>$S12&lt;0</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76" orientation="portrait" r:id="rId1"/>
  <colBreaks count="1" manualBreakCount="1">
    <brk id="17" max="1048575" man="1"/>
  </colBreaks>
</worksheet>
</file>

<file path=xl/worksheets/sheet7.xml><?xml version="1.0" encoding="utf-8"?>
<worksheet xmlns="http://schemas.openxmlformats.org/spreadsheetml/2006/main" xmlns:r="http://schemas.openxmlformats.org/officeDocument/2006/relationships">
  <sheetPr>
    <tabColor theme="8"/>
  </sheetPr>
  <dimension ref="A1:AA70"/>
  <sheetViews>
    <sheetView showGridLines="0" topLeftCell="G34" workbookViewId="0">
      <selection activeCell="S34" sqref="S1:XFD1048576"/>
    </sheetView>
  </sheetViews>
  <sheetFormatPr defaultColWidth="0" defaultRowHeight="0" customHeight="1" zeroHeight="1"/>
  <cols>
    <col min="1" max="1" width="2.5703125" style="18" customWidth="1"/>
    <col min="2" max="2" width="4.42578125" style="18" bestFit="1" customWidth="1"/>
    <col min="3" max="3" width="6.28515625" style="18" customWidth="1"/>
    <col min="4" max="4" width="7.42578125" style="18" customWidth="1"/>
    <col min="5" max="5" width="4.28515625" style="18" customWidth="1"/>
    <col min="6" max="7" width="5.7109375" style="18" customWidth="1"/>
    <col min="8" max="8" width="3.28515625" style="18" customWidth="1"/>
    <col min="9" max="9" width="11.5703125" style="18" customWidth="1"/>
    <col min="10" max="10" width="11" style="18" customWidth="1"/>
    <col min="11" max="11" width="10.5703125" style="18" customWidth="1"/>
    <col min="12" max="12" width="10.85546875" style="18" customWidth="1"/>
    <col min="13" max="13" width="9.140625" style="18" customWidth="1"/>
    <col min="14" max="14" width="4.140625" style="18" customWidth="1"/>
    <col min="15" max="15" width="10.28515625" style="18" bestFit="1" customWidth="1"/>
    <col min="16" max="16" width="3" style="18" customWidth="1"/>
    <col min="17" max="17" width="11.42578125" style="18" customWidth="1"/>
    <col min="18" max="18" width="2.42578125" style="18" customWidth="1"/>
    <col min="19" max="19" width="1.5703125" style="1" hidden="1" customWidth="1"/>
    <col min="20" max="20" width="3.7109375" style="105" hidden="1" customWidth="1"/>
    <col min="21" max="21" width="3.42578125" style="106" hidden="1" customWidth="1"/>
    <col min="22" max="22" width="5.5703125" style="1" hidden="1" customWidth="1"/>
    <col min="23" max="25" width="14.7109375" style="106" hidden="1" customWidth="1"/>
    <col min="26" max="27" width="9" style="106" hidden="1" customWidth="1"/>
    <col min="28" max="16384" width="1.5703125" style="1" hidden="1"/>
  </cols>
  <sheetData>
    <row r="1" spans="1:27" ht="13.5" customHeight="1" thickBot="1">
      <c r="A1" s="596"/>
      <c r="B1" s="597" t="str">
        <f>'Exemp.(HRA+Other) &amp; Other incom'!A1</f>
        <v>Office: Govt. Sr. School Raimalwada (DDO Code :-12345)</v>
      </c>
      <c r="C1" s="598"/>
      <c r="D1" s="598"/>
      <c r="E1" s="598"/>
      <c r="F1" s="598"/>
      <c r="G1" s="598"/>
      <c r="H1" s="598"/>
      <c r="I1" s="598"/>
      <c r="J1" s="598"/>
      <c r="K1" s="598"/>
      <c r="L1" s="598"/>
      <c r="M1" s="598"/>
      <c r="N1" s="598"/>
      <c r="O1" s="598"/>
      <c r="P1" s="598"/>
      <c r="Q1" s="599"/>
      <c r="R1" s="580"/>
    </row>
    <row r="2" spans="1:27" ht="21" thickBot="1">
      <c r="A2" s="596"/>
      <c r="B2" s="634" t="s">
        <v>104</v>
      </c>
      <c r="C2" s="635"/>
      <c r="D2" s="635"/>
      <c r="E2" s="635"/>
      <c r="F2" s="635"/>
      <c r="G2" s="635"/>
      <c r="H2" s="635"/>
      <c r="I2" s="635"/>
      <c r="J2" s="635"/>
      <c r="K2" s="635"/>
      <c r="L2" s="635"/>
      <c r="M2" s="636"/>
      <c r="N2" s="581" t="s">
        <v>220</v>
      </c>
      <c r="O2" s="582"/>
      <c r="P2" s="582"/>
      <c r="Q2" s="583"/>
      <c r="R2" s="580"/>
    </row>
    <row r="3" spans="1:27" s="92" customFormat="1" ht="16.5" thickBot="1">
      <c r="A3" s="596"/>
      <c r="B3" s="86">
        <v>1</v>
      </c>
      <c r="C3" s="584" t="s">
        <v>144</v>
      </c>
      <c r="D3" s="584"/>
      <c r="E3" s="585">
        <f>'GA-55'!F3</f>
        <v>0</v>
      </c>
      <c r="F3" s="585"/>
      <c r="G3" s="585"/>
      <c r="H3" s="585"/>
      <c r="I3" s="585"/>
      <c r="J3" s="585"/>
      <c r="K3" s="87" t="s">
        <v>145</v>
      </c>
      <c r="L3" s="586">
        <f>'GA-55'!P3</f>
        <v>0</v>
      </c>
      <c r="M3" s="586"/>
      <c r="N3" s="586"/>
      <c r="O3" s="88" t="s">
        <v>75</v>
      </c>
      <c r="P3" s="587">
        <f>'GA-55'!F5</f>
        <v>0</v>
      </c>
      <c r="Q3" s="588"/>
      <c r="R3" s="580"/>
      <c r="T3" s="110"/>
      <c r="U3" s="91"/>
      <c r="W3" s="91"/>
      <c r="X3" s="91"/>
      <c r="Y3" s="91"/>
      <c r="Z3" s="91"/>
      <c r="AA3" s="91"/>
    </row>
    <row r="4" spans="1:27" ht="14.25" customHeight="1">
      <c r="A4" s="596"/>
      <c r="B4" s="98">
        <v>2</v>
      </c>
      <c r="C4" s="589" t="s">
        <v>147</v>
      </c>
      <c r="D4" s="589"/>
      <c r="E4" s="589"/>
      <c r="F4" s="589"/>
      <c r="G4" s="589"/>
      <c r="H4" s="589"/>
      <c r="I4" s="589"/>
      <c r="J4" s="589"/>
      <c r="K4" s="589"/>
      <c r="L4" s="589"/>
      <c r="M4" s="589"/>
      <c r="N4" s="589"/>
      <c r="O4" s="589"/>
      <c r="P4" s="61" t="s">
        <v>114</v>
      </c>
      <c r="Q4" s="85">
        <f>'GA-55'!O31</f>
        <v>752717</v>
      </c>
      <c r="R4" s="580"/>
    </row>
    <row r="5" spans="1:27" ht="14.25" customHeight="1">
      <c r="A5" s="596"/>
      <c r="B5" s="99">
        <v>3</v>
      </c>
      <c r="C5" s="539" t="s">
        <v>154</v>
      </c>
      <c r="D5" s="539"/>
      <c r="E5" s="539"/>
      <c r="F5" s="539"/>
      <c r="G5" s="539"/>
      <c r="H5" s="539"/>
      <c r="I5" s="539"/>
      <c r="J5" s="539"/>
      <c r="K5" s="539"/>
      <c r="L5" s="539"/>
      <c r="M5" s="539"/>
      <c r="N5" s="539"/>
      <c r="O5" s="539"/>
      <c r="P5" s="53" t="s">
        <v>114</v>
      </c>
      <c r="Q5" s="73">
        <f>IF(N2="old tax regime",'Exemp.(HRA+Other) &amp; Other incom'!K4,0)</f>
        <v>41832</v>
      </c>
      <c r="R5" s="580"/>
    </row>
    <row r="6" spans="1:27" ht="14.25" customHeight="1">
      <c r="A6" s="596"/>
      <c r="B6" s="99">
        <v>4</v>
      </c>
      <c r="C6" s="590" t="s">
        <v>148</v>
      </c>
      <c r="D6" s="590"/>
      <c r="E6" s="590"/>
      <c r="F6" s="590"/>
      <c r="G6" s="590"/>
      <c r="H6" s="590"/>
      <c r="I6" s="590"/>
      <c r="J6" s="590"/>
      <c r="K6" s="590"/>
      <c r="L6" s="590"/>
      <c r="M6" s="590"/>
      <c r="N6" s="590"/>
      <c r="O6" s="590"/>
      <c r="P6" s="53" t="s">
        <v>114</v>
      </c>
      <c r="Q6" s="78">
        <f>Q4-Q5</f>
        <v>710885</v>
      </c>
      <c r="R6" s="580"/>
    </row>
    <row r="7" spans="1:27" ht="14.25" customHeight="1">
      <c r="A7" s="596"/>
      <c r="B7" s="543">
        <v>5</v>
      </c>
      <c r="C7" s="539" t="s">
        <v>150</v>
      </c>
      <c r="D7" s="539"/>
      <c r="E7" s="539"/>
      <c r="F7" s="539"/>
      <c r="G7" s="539"/>
      <c r="H7" s="539"/>
      <c r="I7" s="539"/>
      <c r="J7" s="539"/>
      <c r="K7" s="539"/>
      <c r="L7" s="539"/>
      <c r="M7" s="591">
        <f>'Exemp.(HRA+Other) &amp; Other incom'!L13</f>
        <v>0</v>
      </c>
      <c r="N7" s="591"/>
      <c r="O7" s="591"/>
      <c r="P7" s="592"/>
      <c r="Q7" s="593"/>
      <c r="R7" s="580"/>
    </row>
    <row r="8" spans="1:27" ht="14.25" customHeight="1">
      <c r="A8" s="596"/>
      <c r="B8" s="543"/>
      <c r="C8" s="539" t="s">
        <v>151</v>
      </c>
      <c r="D8" s="539"/>
      <c r="E8" s="539"/>
      <c r="F8" s="539"/>
      <c r="G8" s="539"/>
      <c r="H8" s="539"/>
      <c r="I8" s="539"/>
      <c r="J8" s="539"/>
      <c r="K8" s="539"/>
      <c r="L8" s="539"/>
      <c r="M8" s="591">
        <f>'Exemp.(HRA+Other) &amp; Other incom'!L14</f>
        <v>0</v>
      </c>
      <c r="N8" s="591"/>
      <c r="O8" s="591"/>
      <c r="P8" s="592"/>
      <c r="Q8" s="593"/>
      <c r="R8" s="580"/>
    </row>
    <row r="9" spans="1:27" ht="14.25" customHeight="1">
      <c r="A9" s="596"/>
      <c r="B9" s="543"/>
      <c r="C9" s="539" t="s">
        <v>152</v>
      </c>
      <c r="D9" s="539"/>
      <c r="E9" s="539"/>
      <c r="F9" s="539"/>
      <c r="G9" s="539"/>
      <c r="H9" s="539"/>
      <c r="I9" s="539"/>
      <c r="J9" s="539"/>
      <c r="K9" s="539"/>
      <c r="L9" s="539"/>
      <c r="M9" s="591">
        <v>50000</v>
      </c>
      <c r="N9" s="591"/>
      <c r="O9" s="591"/>
      <c r="P9" s="53" t="s">
        <v>114</v>
      </c>
      <c r="Q9" s="73">
        <f>IF(N2="old tax regime",M7+M8+M9,0)</f>
        <v>50000</v>
      </c>
      <c r="R9" s="580"/>
    </row>
    <row r="10" spans="1:27" ht="14.25" customHeight="1">
      <c r="A10" s="596"/>
      <c r="B10" s="99">
        <v>6</v>
      </c>
      <c r="C10" s="590" t="s">
        <v>153</v>
      </c>
      <c r="D10" s="590"/>
      <c r="E10" s="590"/>
      <c r="F10" s="590"/>
      <c r="G10" s="590"/>
      <c r="H10" s="590"/>
      <c r="I10" s="590"/>
      <c r="J10" s="590"/>
      <c r="K10" s="590"/>
      <c r="L10" s="590"/>
      <c r="M10" s="590"/>
      <c r="N10" s="590"/>
      <c r="O10" s="590"/>
      <c r="P10" s="53" t="s">
        <v>114</v>
      </c>
      <c r="Q10" s="78">
        <f>Q6-Q9</f>
        <v>660885</v>
      </c>
      <c r="R10" s="580"/>
    </row>
    <row r="11" spans="1:27" ht="9" customHeight="1">
      <c r="A11" s="596"/>
      <c r="B11" s="543">
        <v>7</v>
      </c>
      <c r="C11" s="539" t="s">
        <v>155</v>
      </c>
      <c r="D11" s="539"/>
      <c r="E11" s="539"/>
      <c r="F11" s="539"/>
      <c r="G11" s="539"/>
      <c r="H11" s="539"/>
      <c r="I11" s="539"/>
      <c r="J11" s="539"/>
      <c r="K11" s="594" t="s">
        <v>156</v>
      </c>
      <c r="L11" s="594"/>
      <c r="M11" s="591">
        <f>'Exemp.(HRA+Other) &amp; Other incom'!L7</f>
        <v>0</v>
      </c>
      <c r="N11" s="591"/>
      <c r="O11" s="591"/>
      <c r="P11" s="594"/>
      <c r="Q11" s="595"/>
      <c r="R11" s="580"/>
    </row>
    <row r="12" spans="1:27" ht="22.5" customHeight="1">
      <c r="A12" s="596"/>
      <c r="B12" s="543"/>
      <c r="C12" s="579" t="s">
        <v>157</v>
      </c>
      <c r="D12" s="579"/>
      <c r="E12" s="594" t="s">
        <v>158</v>
      </c>
      <c r="F12" s="594"/>
      <c r="G12" s="594"/>
      <c r="H12" s="600" t="s">
        <v>159</v>
      </c>
      <c r="I12" s="600"/>
      <c r="J12" s="600"/>
      <c r="K12" s="594" t="s">
        <v>115</v>
      </c>
      <c r="L12" s="594"/>
      <c r="M12" s="605" t="s">
        <v>160</v>
      </c>
      <c r="N12" s="605"/>
      <c r="O12" s="605"/>
      <c r="P12" s="594"/>
      <c r="Q12" s="595"/>
      <c r="R12" s="580"/>
    </row>
    <row r="13" spans="1:27" ht="21.75" customHeight="1">
      <c r="A13" s="596"/>
      <c r="B13" s="543"/>
      <c r="C13" s="579"/>
      <c r="D13" s="579"/>
      <c r="E13" s="591">
        <f>IF(N2="old tax regime",ROUND(M11*0.3,0),0)</f>
        <v>0</v>
      </c>
      <c r="F13" s="591"/>
      <c r="G13" s="591"/>
      <c r="H13" s="591">
        <f>IF(N2="old tax regime",'Exemp.(HRA+Other) &amp; Other incom'!L17,0)</f>
        <v>0</v>
      </c>
      <c r="I13" s="591"/>
      <c r="J13" s="591"/>
      <c r="K13" s="591">
        <f>IF(N2="old tax regime",'Exemp.(HRA+Other) &amp; Other incom'!L15,0)</f>
        <v>0</v>
      </c>
      <c r="L13" s="591"/>
      <c r="M13" s="606">
        <f>E13+H13+K13</f>
        <v>0</v>
      </c>
      <c r="N13" s="606"/>
      <c r="O13" s="606"/>
      <c r="P13" s="594"/>
      <c r="Q13" s="595"/>
      <c r="R13" s="580"/>
    </row>
    <row r="14" spans="1:27" ht="21.75" customHeight="1">
      <c r="A14" s="596"/>
      <c r="B14" s="99"/>
      <c r="C14" s="607" t="s">
        <v>162</v>
      </c>
      <c r="D14" s="499"/>
      <c r="E14" s="499"/>
      <c r="F14" s="499"/>
      <c r="G14" s="499"/>
      <c r="H14" s="499"/>
      <c r="I14" s="499"/>
      <c r="J14" s="499"/>
      <c r="K14" s="499"/>
      <c r="L14" s="499"/>
      <c r="M14" s="499"/>
      <c r="N14" s="499"/>
      <c r="O14" s="500"/>
      <c r="P14" s="53" t="s">
        <v>114</v>
      </c>
      <c r="Q14" s="73">
        <f>M11-M13</f>
        <v>0</v>
      </c>
      <c r="R14" s="580"/>
    </row>
    <row r="15" spans="1:27" ht="21.75" customHeight="1">
      <c r="A15" s="596"/>
      <c r="B15" s="99">
        <v>8</v>
      </c>
      <c r="C15" s="498" t="s">
        <v>161</v>
      </c>
      <c r="D15" s="601"/>
      <c r="E15" s="601"/>
      <c r="F15" s="601"/>
      <c r="G15" s="601"/>
      <c r="H15" s="601"/>
      <c r="I15" s="601"/>
      <c r="J15" s="601"/>
      <c r="K15" s="601"/>
      <c r="L15" s="601"/>
      <c r="M15" s="601"/>
      <c r="N15" s="601"/>
      <c r="O15" s="602"/>
      <c r="P15" s="53" t="s">
        <v>114</v>
      </c>
      <c r="Q15" s="78">
        <f>Q10+Q14</f>
        <v>660885</v>
      </c>
      <c r="R15" s="580"/>
    </row>
    <row r="16" spans="1:27" ht="21.75" customHeight="1">
      <c r="A16" s="596"/>
      <c r="B16" s="523">
        <v>9</v>
      </c>
      <c r="C16" s="603" t="s">
        <v>142</v>
      </c>
      <c r="D16" s="104" t="s">
        <v>105</v>
      </c>
      <c r="E16" s="604" t="str">
        <f>'Exemp.(HRA+Other) &amp; Other incom'!B8</f>
        <v>अन्य आय (बैंक/एफडी में जमा ब्याज/अन्य ब्याज आदि का योग</v>
      </c>
      <c r="F16" s="539"/>
      <c r="G16" s="539"/>
      <c r="H16" s="539"/>
      <c r="I16" s="539"/>
      <c r="J16" s="539"/>
      <c r="K16" s="539"/>
      <c r="L16" s="539"/>
      <c r="M16" s="539"/>
      <c r="N16" s="539"/>
      <c r="O16" s="539"/>
      <c r="P16" s="53" t="s">
        <v>114</v>
      </c>
      <c r="Q16" s="73">
        <f>'Exemp.(HRA+Other) &amp; Other incom'!L8</f>
        <v>0</v>
      </c>
      <c r="R16" s="580"/>
    </row>
    <row r="17" spans="1:18" ht="21.75" customHeight="1">
      <c r="A17" s="596"/>
      <c r="B17" s="523"/>
      <c r="C17" s="603"/>
      <c r="D17" s="104" t="s">
        <v>106</v>
      </c>
      <c r="E17" s="604" t="str">
        <f>'Exemp.(HRA+Other) &amp; Other incom'!C9</f>
        <v>(-----------------------------------------------------)</v>
      </c>
      <c r="F17" s="539"/>
      <c r="G17" s="539"/>
      <c r="H17" s="539"/>
      <c r="I17" s="539"/>
      <c r="J17" s="539"/>
      <c r="K17" s="539"/>
      <c r="L17" s="539"/>
      <c r="M17" s="539"/>
      <c r="N17" s="539"/>
      <c r="O17" s="539"/>
      <c r="P17" s="66"/>
      <c r="Q17" s="73">
        <f>'Exemp.(HRA+Other) &amp; Other incom'!L9</f>
        <v>0</v>
      </c>
      <c r="R17" s="580"/>
    </row>
    <row r="18" spans="1:18" ht="21.75" customHeight="1">
      <c r="A18" s="596"/>
      <c r="B18" s="523"/>
      <c r="C18" s="603"/>
      <c r="D18" s="104" t="s">
        <v>107</v>
      </c>
      <c r="E18" s="604" t="str">
        <f>'Exemp.(HRA+Other) &amp; Other incom'!C10</f>
        <v>(-----------------------------------------------------)</v>
      </c>
      <c r="F18" s="539"/>
      <c r="G18" s="539"/>
      <c r="H18" s="539"/>
      <c r="I18" s="539"/>
      <c r="J18" s="539"/>
      <c r="K18" s="539"/>
      <c r="L18" s="539"/>
      <c r="M18" s="539"/>
      <c r="N18" s="539"/>
      <c r="O18" s="539"/>
      <c r="P18" s="66"/>
      <c r="Q18" s="73">
        <f>'Exemp.(HRA+Other) &amp; Other incom'!L10</f>
        <v>0</v>
      </c>
      <c r="R18" s="580"/>
    </row>
    <row r="19" spans="1:18" ht="21.75" customHeight="1" thickBot="1">
      <c r="A19" s="596"/>
      <c r="B19" s="100"/>
      <c r="C19" s="568" t="s">
        <v>163</v>
      </c>
      <c r="D19" s="568"/>
      <c r="E19" s="568"/>
      <c r="F19" s="568"/>
      <c r="G19" s="568"/>
      <c r="H19" s="568"/>
      <c r="I19" s="568"/>
      <c r="J19" s="568"/>
      <c r="K19" s="568"/>
      <c r="L19" s="568"/>
      <c r="M19" s="568"/>
      <c r="N19" s="568"/>
      <c r="O19" s="568"/>
      <c r="P19" s="67"/>
      <c r="Q19" s="83">
        <f>Q16+Q17+Q18</f>
        <v>0</v>
      </c>
      <c r="R19" s="580"/>
    </row>
    <row r="20" spans="1:18" ht="21.75" customHeight="1" thickBot="1">
      <c r="A20" s="596"/>
      <c r="B20" s="63">
        <v>10</v>
      </c>
      <c r="C20" s="569" t="s">
        <v>164</v>
      </c>
      <c r="D20" s="569"/>
      <c r="E20" s="569"/>
      <c r="F20" s="569"/>
      <c r="G20" s="569"/>
      <c r="H20" s="569"/>
      <c r="I20" s="569"/>
      <c r="J20" s="569"/>
      <c r="K20" s="569"/>
      <c r="L20" s="569"/>
      <c r="M20" s="569"/>
      <c r="N20" s="569"/>
      <c r="O20" s="569"/>
      <c r="P20" s="60" t="s">
        <v>114</v>
      </c>
      <c r="Q20" s="84">
        <f>Q15+Q19</f>
        <v>660885</v>
      </c>
      <c r="R20" s="580"/>
    </row>
    <row r="21" spans="1:18" ht="21.75" customHeight="1">
      <c r="A21" s="596"/>
      <c r="B21" s="542">
        <v>11</v>
      </c>
      <c r="C21" s="570" t="s">
        <v>165</v>
      </c>
      <c r="D21" s="570"/>
      <c r="E21" s="570"/>
      <c r="F21" s="570"/>
      <c r="G21" s="570"/>
      <c r="H21" s="570"/>
      <c r="I21" s="570"/>
      <c r="J21" s="570"/>
      <c r="K21" s="570"/>
      <c r="L21" s="570"/>
      <c r="M21" s="570"/>
      <c r="N21" s="570"/>
      <c r="O21" s="570"/>
      <c r="P21" s="570"/>
      <c r="Q21" s="571"/>
      <c r="R21" s="580"/>
    </row>
    <row r="22" spans="1:18" ht="14.25" customHeight="1">
      <c r="A22" s="596"/>
      <c r="B22" s="543"/>
      <c r="C22" s="572" t="s">
        <v>166</v>
      </c>
      <c r="D22" s="572"/>
      <c r="E22" s="572"/>
      <c r="F22" s="572"/>
      <c r="G22" s="572"/>
      <c r="H22" s="572"/>
      <c r="I22" s="572"/>
      <c r="J22" s="572"/>
      <c r="K22" s="572"/>
      <c r="L22" s="572"/>
      <c r="M22" s="572"/>
      <c r="N22" s="572"/>
      <c r="O22" s="572"/>
      <c r="P22" s="572"/>
      <c r="Q22" s="573"/>
      <c r="R22" s="580"/>
    </row>
    <row r="23" spans="1:18" ht="16.5" customHeight="1">
      <c r="A23" s="596"/>
      <c r="B23" s="543"/>
      <c r="C23" s="104" t="s">
        <v>76</v>
      </c>
      <c r="D23" s="539" t="s">
        <v>167</v>
      </c>
      <c r="E23" s="539"/>
      <c r="F23" s="539"/>
      <c r="G23" s="539"/>
      <c r="H23" s="55" t="s">
        <v>114</v>
      </c>
      <c r="I23" s="80">
        <f>IF(N2="old tax regime",'GA-55'!Q31,0)</f>
        <v>60000</v>
      </c>
      <c r="J23" s="104" t="s">
        <v>77</v>
      </c>
      <c r="K23" s="565" t="s">
        <v>172</v>
      </c>
      <c r="L23" s="566"/>
      <c r="M23" s="567"/>
      <c r="N23" s="55" t="s">
        <v>114</v>
      </c>
      <c r="O23" s="80">
        <f>IF(N2="old tax regime",'Exemp.(HRA+Other) &amp; Other incom'!Q15,0)</f>
        <v>0</v>
      </c>
      <c r="P23" s="574"/>
      <c r="Q23" s="575"/>
      <c r="R23" s="580"/>
    </row>
    <row r="24" spans="1:18" ht="16.5" customHeight="1">
      <c r="A24" s="596"/>
      <c r="B24" s="543"/>
      <c r="C24" s="104" t="s">
        <v>78</v>
      </c>
      <c r="D24" s="539" t="s">
        <v>168</v>
      </c>
      <c r="E24" s="539"/>
      <c r="F24" s="539"/>
      <c r="G24" s="539"/>
      <c r="H24" s="55" t="s">
        <v>114</v>
      </c>
      <c r="I24" s="80">
        <f>IF(N2="old tax regime",'GA-55'!T31+'Exemp.(HRA+Other) &amp; Other incom'!L18,0)</f>
        <v>0</v>
      </c>
      <c r="J24" s="104" t="s">
        <v>79</v>
      </c>
      <c r="K24" s="565" t="s">
        <v>123</v>
      </c>
      <c r="L24" s="566"/>
      <c r="M24" s="567"/>
      <c r="N24" s="55" t="s">
        <v>114</v>
      </c>
      <c r="O24" s="81">
        <f>IF(N2="old tax regime",'Exemp.(HRA+Other) &amp; Other incom'!L23,0)</f>
        <v>0</v>
      </c>
      <c r="P24" s="574"/>
      <c r="Q24" s="575"/>
      <c r="R24" s="580"/>
    </row>
    <row r="25" spans="1:18" ht="16.5" customHeight="1">
      <c r="A25" s="596"/>
      <c r="B25" s="543"/>
      <c r="C25" s="104" t="s">
        <v>80</v>
      </c>
      <c r="D25" s="539" t="s">
        <v>122</v>
      </c>
      <c r="E25" s="539"/>
      <c r="F25" s="539"/>
      <c r="G25" s="539"/>
      <c r="H25" s="55" t="s">
        <v>114</v>
      </c>
      <c r="I25" s="80">
        <f>IF(N2="old tax regime",'Exemp.(HRA+Other) &amp; Other incom'!L22,0)</f>
        <v>0</v>
      </c>
      <c r="J25" s="104" t="s">
        <v>81</v>
      </c>
      <c r="K25" s="565" t="s">
        <v>120</v>
      </c>
      <c r="L25" s="566"/>
      <c r="M25" s="567"/>
      <c r="N25" s="55" t="s">
        <v>114</v>
      </c>
      <c r="O25" s="81">
        <f>IF(N2="old tax regime",'Exemp.(HRA+Other) &amp; Other incom'!L20,0)</f>
        <v>0</v>
      </c>
      <c r="P25" s="574"/>
      <c r="Q25" s="575"/>
      <c r="R25" s="580"/>
    </row>
    <row r="26" spans="1:18" ht="16.5" customHeight="1">
      <c r="A26" s="596"/>
      <c r="B26" s="543"/>
      <c r="C26" s="104" t="s">
        <v>82</v>
      </c>
      <c r="D26" s="539" t="s">
        <v>124</v>
      </c>
      <c r="E26" s="539"/>
      <c r="F26" s="539"/>
      <c r="G26" s="539"/>
      <c r="H26" s="55" t="s">
        <v>114</v>
      </c>
      <c r="I26" s="80">
        <f>IF(N2="old tax regime",'Exemp.(HRA+Other) &amp; Other incom'!L24,0)</f>
        <v>0</v>
      </c>
      <c r="J26" s="104" t="s">
        <v>83</v>
      </c>
      <c r="K26" s="576" t="s">
        <v>137</v>
      </c>
      <c r="L26" s="576"/>
      <c r="M26" s="576"/>
      <c r="N26" s="55" t="s">
        <v>114</v>
      </c>
      <c r="O26" s="80">
        <f>IF(N2="old tax regime",'Exemp.(HRA+Other) &amp; Other incom'!Q24,0)</f>
        <v>0</v>
      </c>
      <c r="P26" s="574"/>
      <c r="Q26" s="575"/>
      <c r="R26" s="580"/>
    </row>
    <row r="27" spans="1:18" ht="16.5" customHeight="1">
      <c r="A27" s="596"/>
      <c r="B27" s="543"/>
      <c r="C27" s="104" t="s">
        <v>84</v>
      </c>
      <c r="D27" s="539" t="s">
        <v>169</v>
      </c>
      <c r="E27" s="539"/>
      <c r="F27" s="539"/>
      <c r="G27" s="539"/>
      <c r="H27" s="55" t="s">
        <v>114</v>
      </c>
      <c r="I27" s="80">
        <f>IF(N2="old tax regime",'Exemp.(HRA+Other) &amp; Other incom'!L25,0)</f>
        <v>0</v>
      </c>
      <c r="J27" s="104" t="s">
        <v>85</v>
      </c>
      <c r="K27" s="565" t="s">
        <v>175</v>
      </c>
      <c r="L27" s="566"/>
      <c r="M27" s="567"/>
      <c r="N27" s="55" t="s">
        <v>114</v>
      </c>
      <c r="O27" s="80">
        <f>IF(N2="old tax regime",'Exemp.(HRA+Other) &amp; Other incom'!Q25,0)</f>
        <v>0</v>
      </c>
      <c r="P27" s="574"/>
      <c r="Q27" s="575"/>
      <c r="R27" s="580"/>
    </row>
    <row r="28" spans="1:18" ht="16.5" customHeight="1">
      <c r="A28" s="596"/>
      <c r="B28" s="543"/>
      <c r="C28" s="104" t="s">
        <v>86</v>
      </c>
      <c r="D28" s="579" t="s">
        <v>108</v>
      </c>
      <c r="E28" s="579"/>
      <c r="F28" s="579"/>
      <c r="G28" s="579"/>
      <c r="H28" s="55" t="s">
        <v>114</v>
      </c>
      <c r="I28" s="80">
        <f>IF(N2="old tax regime",'GA-55'!P31,0)</f>
        <v>47492</v>
      </c>
      <c r="J28" s="104" t="s">
        <v>87</v>
      </c>
      <c r="K28" s="576" t="s">
        <v>174</v>
      </c>
      <c r="L28" s="576"/>
      <c r="M28" s="576"/>
      <c r="N28" s="55" t="s">
        <v>114</v>
      </c>
      <c r="O28" s="80">
        <f>IF(N2="old tax regime",'Exemp.(HRA+Other) &amp; Other incom'!L19,0)</f>
        <v>0</v>
      </c>
      <c r="P28" s="574"/>
      <c r="Q28" s="575"/>
      <c r="R28" s="580"/>
    </row>
    <row r="29" spans="1:18" ht="16.5" customHeight="1">
      <c r="A29" s="596"/>
      <c r="B29" s="543"/>
      <c r="C29" s="104" t="s">
        <v>88</v>
      </c>
      <c r="D29" s="539" t="s">
        <v>170</v>
      </c>
      <c r="E29" s="539"/>
      <c r="F29" s="539"/>
      <c r="G29" s="539"/>
      <c r="H29" s="55" t="s">
        <v>114</v>
      </c>
      <c r="I29" s="81">
        <f>IF(N2="old tax regime",'GA-55'!U31,0)</f>
        <v>1400</v>
      </c>
      <c r="J29" s="104" t="s">
        <v>89</v>
      </c>
      <c r="K29" s="565" t="s">
        <v>127</v>
      </c>
      <c r="L29" s="566"/>
      <c r="M29" s="567"/>
      <c r="N29" s="55" t="s">
        <v>114</v>
      </c>
      <c r="O29" s="80">
        <f>IF(N2="old tax regime",'Exemp.(HRA+Other) &amp; Other incom'!Q14,0)</f>
        <v>0</v>
      </c>
      <c r="P29" s="574"/>
      <c r="Q29" s="575"/>
      <c r="R29" s="580"/>
    </row>
    <row r="30" spans="1:18" ht="16.5" customHeight="1">
      <c r="A30" s="596"/>
      <c r="B30" s="543"/>
      <c r="C30" s="104" t="s">
        <v>90</v>
      </c>
      <c r="D30" s="539" t="s">
        <v>121</v>
      </c>
      <c r="E30" s="539"/>
      <c r="F30" s="539"/>
      <c r="G30" s="539"/>
      <c r="H30" s="55" t="s">
        <v>114</v>
      </c>
      <c r="I30" s="81">
        <f>IF(N2="old tax regime",'Exemp.(HRA+Other) &amp; Other incom'!L21,0)</f>
        <v>0</v>
      </c>
      <c r="J30" s="104" t="s">
        <v>91</v>
      </c>
      <c r="K30" s="576" t="s">
        <v>173</v>
      </c>
      <c r="L30" s="576"/>
      <c r="M30" s="576"/>
      <c r="N30" s="55" t="s">
        <v>114</v>
      </c>
      <c r="O30" s="80">
        <f>IF(N2="old tax regime",'Exemp.(HRA+Other) &amp; Other incom'!L26,0)</f>
        <v>0</v>
      </c>
      <c r="P30" s="574"/>
      <c r="Q30" s="575"/>
      <c r="R30" s="580"/>
    </row>
    <row r="31" spans="1:18" ht="16.5" customHeight="1">
      <c r="A31" s="596"/>
      <c r="B31" s="543"/>
      <c r="C31" s="104" t="s">
        <v>92</v>
      </c>
      <c r="D31" s="563" t="s">
        <v>171</v>
      </c>
      <c r="E31" s="563"/>
      <c r="F31" s="563"/>
      <c r="G31" s="563"/>
      <c r="H31" s="55" t="s">
        <v>114</v>
      </c>
      <c r="I31" s="80">
        <f>IF(N2="old tax regime",'Exemp.(HRA+Other) &amp; Other incom'!L16,0)</f>
        <v>0</v>
      </c>
      <c r="J31" s="104" t="s">
        <v>93</v>
      </c>
      <c r="K31" s="576"/>
      <c r="L31" s="576"/>
      <c r="M31" s="576"/>
      <c r="N31" s="55" t="s">
        <v>114</v>
      </c>
      <c r="O31" s="80"/>
      <c r="P31" s="574"/>
      <c r="Q31" s="575"/>
      <c r="R31" s="580"/>
    </row>
    <row r="32" spans="1:18" ht="16.5" customHeight="1">
      <c r="A32" s="596"/>
      <c r="B32" s="543"/>
      <c r="C32" s="577" t="s">
        <v>176</v>
      </c>
      <c r="D32" s="577"/>
      <c r="E32" s="577"/>
      <c r="F32" s="577"/>
      <c r="G32" s="577"/>
      <c r="H32" s="577"/>
      <c r="I32" s="577"/>
      <c r="J32" s="577"/>
      <c r="K32" s="577"/>
      <c r="L32" s="577"/>
      <c r="M32" s="577"/>
      <c r="N32" s="55" t="s">
        <v>114</v>
      </c>
      <c r="O32" s="82">
        <f>SUM(O23:O31,I23:I31)</f>
        <v>108892</v>
      </c>
      <c r="P32" s="574"/>
      <c r="Q32" s="575"/>
      <c r="R32" s="580"/>
    </row>
    <row r="33" spans="1:27" ht="15.75" customHeight="1">
      <c r="A33" s="596"/>
      <c r="B33" s="543"/>
      <c r="C33" s="577" t="s">
        <v>177</v>
      </c>
      <c r="D33" s="577"/>
      <c r="E33" s="577"/>
      <c r="F33" s="577"/>
      <c r="G33" s="577"/>
      <c r="H33" s="577"/>
      <c r="I33" s="577"/>
      <c r="J33" s="577"/>
      <c r="K33" s="577"/>
      <c r="L33" s="577"/>
      <c r="M33" s="577"/>
      <c r="N33" s="577"/>
      <c r="O33" s="577"/>
      <c r="P33" s="65" t="s">
        <v>114</v>
      </c>
      <c r="Q33" s="78">
        <f>IF(N2="new tax regime",0,IF(O32&gt;=150000,150000,O32))</f>
        <v>108892</v>
      </c>
      <c r="R33" s="580"/>
    </row>
    <row r="34" spans="1:27" ht="15.75" customHeight="1">
      <c r="A34" s="596"/>
      <c r="B34" s="543"/>
      <c r="C34" s="572" t="s">
        <v>178</v>
      </c>
      <c r="D34" s="572"/>
      <c r="E34" s="572"/>
      <c r="F34" s="572"/>
      <c r="G34" s="572"/>
      <c r="H34" s="572"/>
      <c r="I34" s="572"/>
      <c r="J34" s="572"/>
      <c r="K34" s="572"/>
      <c r="L34" s="572"/>
      <c r="M34" s="572"/>
      <c r="N34" s="572"/>
      <c r="O34" s="572"/>
      <c r="P34" s="53" t="s">
        <v>114</v>
      </c>
      <c r="Q34" s="78">
        <f>IF(N2="old tax regime",'Exemp.(HRA+Other) &amp; Other incom'!Q16,0)</f>
        <v>0</v>
      </c>
      <c r="R34" s="580"/>
    </row>
    <row r="35" spans="1:27" ht="15.75" customHeight="1">
      <c r="A35" s="596"/>
      <c r="B35" s="543"/>
      <c r="C35" s="578" t="s">
        <v>180</v>
      </c>
      <c r="D35" s="578"/>
      <c r="E35" s="578"/>
      <c r="F35" s="578"/>
      <c r="G35" s="578"/>
      <c r="H35" s="578"/>
      <c r="I35" s="578"/>
      <c r="J35" s="578"/>
      <c r="K35" s="578"/>
      <c r="L35" s="578"/>
      <c r="M35" s="578"/>
      <c r="N35" s="578"/>
      <c r="O35" s="578"/>
      <c r="P35" s="54" t="s">
        <v>114</v>
      </c>
      <c r="Q35" s="79">
        <f>Q33+Q34</f>
        <v>108892</v>
      </c>
      <c r="R35" s="580"/>
    </row>
    <row r="36" spans="1:27" ht="15.75" customHeight="1">
      <c r="A36" s="596"/>
      <c r="B36" s="543">
        <v>12</v>
      </c>
      <c r="C36" s="560" t="s">
        <v>179</v>
      </c>
      <c r="D36" s="560"/>
      <c r="E36" s="560"/>
      <c r="F36" s="560"/>
      <c r="G36" s="560"/>
      <c r="H36" s="560"/>
      <c r="I36" s="560"/>
      <c r="J36" s="560"/>
      <c r="K36" s="560"/>
      <c r="L36" s="560"/>
      <c r="M36" s="560"/>
      <c r="N36" s="560"/>
      <c r="O36" s="560"/>
      <c r="P36" s="560"/>
      <c r="Q36" s="561"/>
      <c r="R36" s="580"/>
    </row>
    <row r="37" spans="1:27" ht="15.75" customHeight="1">
      <c r="A37" s="596"/>
      <c r="B37" s="543"/>
      <c r="C37" s="562" t="s">
        <v>213</v>
      </c>
      <c r="D37" s="562"/>
      <c r="E37" s="562"/>
      <c r="F37" s="562"/>
      <c r="G37" s="562"/>
      <c r="H37" s="562"/>
      <c r="I37" s="562"/>
      <c r="J37" s="562"/>
      <c r="K37" s="562"/>
      <c r="L37" s="562"/>
      <c r="M37" s="562"/>
      <c r="N37" s="562"/>
      <c r="O37" s="562"/>
      <c r="P37" s="53" t="s">
        <v>114</v>
      </c>
      <c r="Q37" s="73">
        <f>IF(N2="old tax regime",'Exemp.(HRA+Other) &amp; Other incom'!Q17,0)</f>
        <v>0</v>
      </c>
      <c r="R37" s="580"/>
    </row>
    <row r="38" spans="1:27" ht="15.75" customHeight="1">
      <c r="A38" s="596"/>
      <c r="B38" s="543"/>
      <c r="C38" s="539" t="s">
        <v>184</v>
      </c>
      <c r="D38" s="539"/>
      <c r="E38" s="539"/>
      <c r="F38" s="539"/>
      <c r="G38" s="539"/>
      <c r="H38" s="539"/>
      <c r="I38" s="539"/>
      <c r="J38" s="539"/>
      <c r="K38" s="539"/>
      <c r="L38" s="539"/>
      <c r="M38" s="539"/>
      <c r="N38" s="539"/>
      <c r="O38" s="539"/>
      <c r="P38" s="53" t="s">
        <v>114</v>
      </c>
      <c r="Q38" s="73">
        <f>IF(N2="old tax regime",'Exemp.(HRA+Other) &amp; Other incom'!Q18,0)</f>
        <v>0</v>
      </c>
      <c r="R38" s="580"/>
    </row>
    <row r="39" spans="1:27" ht="15.75" customHeight="1">
      <c r="A39" s="596"/>
      <c r="B39" s="543"/>
      <c r="C39" s="539" t="s">
        <v>181</v>
      </c>
      <c r="D39" s="539"/>
      <c r="E39" s="539"/>
      <c r="F39" s="539"/>
      <c r="G39" s="539"/>
      <c r="H39" s="539"/>
      <c r="I39" s="539"/>
      <c r="J39" s="539"/>
      <c r="K39" s="539"/>
      <c r="L39" s="539"/>
      <c r="M39" s="539"/>
      <c r="N39" s="539"/>
      <c r="O39" s="539"/>
      <c r="P39" s="53" t="s">
        <v>114</v>
      </c>
      <c r="Q39" s="73">
        <f>IF(N2="old tax regime",'Exemp.(HRA+Other) &amp; Other incom'!Q19,0)</f>
        <v>0</v>
      </c>
      <c r="R39" s="580"/>
    </row>
    <row r="40" spans="1:27" ht="15.75" customHeight="1">
      <c r="A40" s="596"/>
      <c r="B40" s="543"/>
      <c r="C40" s="539" t="s">
        <v>182</v>
      </c>
      <c r="D40" s="539"/>
      <c r="E40" s="539"/>
      <c r="F40" s="539"/>
      <c r="G40" s="539"/>
      <c r="H40" s="539"/>
      <c r="I40" s="539"/>
      <c r="J40" s="539"/>
      <c r="K40" s="539"/>
      <c r="L40" s="539"/>
      <c r="M40" s="539"/>
      <c r="N40" s="539"/>
      <c r="O40" s="539"/>
      <c r="P40" s="53" t="s">
        <v>114</v>
      </c>
      <c r="Q40" s="73">
        <f>IF(N2="old tax regime",'Exemp.(HRA+Other) &amp; Other incom'!Q20,0)</f>
        <v>0</v>
      </c>
      <c r="R40" s="580"/>
    </row>
    <row r="41" spans="1:27" ht="15.75" customHeight="1">
      <c r="A41" s="596"/>
      <c r="B41" s="543"/>
      <c r="C41" s="539" t="s">
        <v>183</v>
      </c>
      <c r="D41" s="539"/>
      <c r="E41" s="539"/>
      <c r="F41" s="539"/>
      <c r="G41" s="539"/>
      <c r="H41" s="539"/>
      <c r="I41" s="539"/>
      <c r="J41" s="539"/>
      <c r="K41" s="539"/>
      <c r="L41" s="539"/>
      <c r="M41" s="539"/>
      <c r="N41" s="539"/>
      <c r="O41" s="539"/>
      <c r="P41" s="53" t="s">
        <v>114</v>
      </c>
      <c r="Q41" s="73">
        <f>IF(N2="old tax regime",'Exemp.(HRA+Other) &amp; Other incom'!Q21,0)</f>
        <v>0</v>
      </c>
      <c r="R41" s="580"/>
      <c r="T41" s="93"/>
      <c r="U41" s="93"/>
      <c r="V41" s="93"/>
      <c r="W41" s="93" t="s">
        <v>221</v>
      </c>
      <c r="X41" s="93" t="s">
        <v>222</v>
      </c>
      <c r="Y41" s="94" t="s">
        <v>223</v>
      </c>
      <c r="Z41" s="196" t="s">
        <v>224</v>
      </c>
      <c r="AA41" s="196"/>
    </row>
    <row r="42" spans="1:27" ht="15.75" customHeight="1">
      <c r="A42" s="596"/>
      <c r="B42" s="543"/>
      <c r="C42" s="562" t="s">
        <v>185</v>
      </c>
      <c r="D42" s="562"/>
      <c r="E42" s="562"/>
      <c r="F42" s="562"/>
      <c r="G42" s="562"/>
      <c r="H42" s="562"/>
      <c r="I42" s="562"/>
      <c r="J42" s="562"/>
      <c r="K42" s="562"/>
      <c r="L42" s="562"/>
      <c r="M42" s="562"/>
      <c r="N42" s="562"/>
      <c r="O42" s="562"/>
      <c r="P42" s="53" t="s">
        <v>114</v>
      </c>
      <c r="Q42" s="73">
        <f>IF(N2="old tax regime",'Exemp.(HRA+Other) &amp; Other incom'!Q22,0)</f>
        <v>0</v>
      </c>
      <c r="R42" s="580"/>
      <c r="T42" s="93"/>
      <c r="U42" s="93"/>
      <c r="V42" s="93"/>
      <c r="W42" s="93">
        <f>IF($Q$48&gt;1000000,1,IF($Q$48&gt;500000,2,IF($Q$48&gt;300000,3,IF($Q$48&gt;250000,4,0))))</f>
        <v>2</v>
      </c>
      <c r="X42" s="93">
        <f>IF($Q$48&gt;1000000,1,IF($Q$48&gt;500000,2,IF($Q$48&gt;300000,3,0)))</f>
        <v>2</v>
      </c>
      <c r="Y42" s="93">
        <f>IF($Q$48&gt;1000000,1,IF($Q$48&gt;500000,2,0))</f>
        <v>2</v>
      </c>
      <c r="Z42" s="196">
        <f>IF($Q$48&gt;1000000,1,0)</f>
        <v>0</v>
      </c>
      <c r="AA42" s="196"/>
    </row>
    <row r="43" spans="1:27" ht="15.75" customHeight="1">
      <c r="A43" s="596"/>
      <c r="B43" s="543"/>
      <c r="C43" s="563" t="s">
        <v>186</v>
      </c>
      <c r="D43" s="563"/>
      <c r="E43" s="563"/>
      <c r="F43" s="563"/>
      <c r="G43" s="563"/>
      <c r="H43" s="563"/>
      <c r="I43" s="563"/>
      <c r="J43" s="563"/>
      <c r="K43" s="563"/>
      <c r="L43" s="563"/>
      <c r="M43" s="563"/>
      <c r="N43" s="563"/>
      <c r="O43" s="563"/>
      <c r="P43" s="53" t="s">
        <v>114</v>
      </c>
      <c r="Q43" s="73">
        <f>IF(N2="old tax regime",'Exemp.(HRA+Other) &amp; Other incom'!Q13,0)</f>
        <v>0</v>
      </c>
      <c r="R43" s="580"/>
      <c r="T43" s="93"/>
      <c r="U43" s="93"/>
      <c r="V43" s="93" t="s">
        <v>218</v>
      </c>
      <c r="W43" s="93">
        <f>IF(W42&gt;=1,2500,0)</f>
        <v>2500</v>
      </c>
      <c r="X43" s="93">
        <f>IF(X42=3,ROUND((Q48-300000)*0.05,0),IF(X42=0,0,10000))</f>
        <v>10000</v>
      </c>
      <c r="Y43" s="93">
        <f>IF(Y42=2,($Q$48-500000)*0.2,IF(Y42=1,100000,0))</f>
        <v>10398</v>
      </c>
      <c r="Z43" s="196">
        <f>IF(Z42&gt;0,($Q$48-1000000)*0.3,0)</f>
        <v>0</v>
      </c>
      <c r="AA43" s="196"/>
    </row>
    <row r="44" spans="1:27" ht="15.75" customHeight="1">
      <c r="A44" s="596"/>
      <c r="B44" s="543"/>
      <c r="C44" s="539" t="s">
        <v>187</v>
      </c>
      <c r="D44" s="539"/>
      <c r="E44" s="539"/>
      <c r="F44" s="539"/>
      <c r="G44" s="539"/>
      <c r="H44" s="539"/>
      <c r="I44" s="539"/>
      <c r="J44" s="539"/>
      <c r="K44" s="539"/>
      <c r="L44" s="539"/>
      <c r="M44" s="539"/>
      <c r="N44" s="539"/>
      <c r="O44" s="539"/>
      <c r="P44" s="53" t="s">
        <v>114</v>
      </c>
      <c r="Q44" s="73">
        <f>IF(N2="old tax regime",'Exemp.(HRA+Other) &amp; Other incom'!Q23,0)</f>
        <v>0</v>
      </c>
      <c r="R44" s="580"/>
      <c r="T44" s="93"/>
      <c r="U44" s="93"/>
      <c r="V44" s="93" t="s">
        <v>109</v>
      </c>
      <c r="W44" s="94">
        <v>0</v>
      </c>
      <c r="X44" s="93">
        <f>IF(X42=3,ROUND((Q48-300000)*0.05,0),IF(X42=0,0,10000))</f>
        <v>10000</v>
      </c>
      <c r="Y44" s="93">
        <f>IF(Y42=2,($Q$48-500000)*0.2,IF(Y42=1,100000,0))</f>
        <v>10398</v>
      </c>
      <c r="Z44" s="196">
        <f>IF(Z42&gt;0,($Q$48-1000000)*0.3,0)</f>
        <v>0</v>
      </c>
      <c r="AA44" s="196"/>
    </row>
    <row r="45" spans="1:27" ht="15.75" customHeight="1" thickBot="1">
      <c r="A45" s="596"/>
      <c r="B45" s="559"/>
      <c r="C45" s="564" t="s">
        <v>188</v>
      </c>
      <c r="D45" s="564"/>
      <c r="E45" s="564"/>
      <c r="F45" s="564"/>
      <c r="G45" s="564"/>
      <c r="H45" s="564"/>
      <c r="I45" s="564"/>
      <c r="J45" s="564"/>
      <c r="K45" s="564"/>
      <c r="L45" s="564"/>
      <c r="M45" s="564"/>
      <c r="N45" s="564"/>
      <c r="O45" s="564"/>
      <c r="P45" s="56" t="s">
        <v>114</v>
      </c>
      <c r="Q45" s="74">
        <f>SUM(Q37:Q44)</f>
        <v>0</v>
      </c>
      <c r="R45" s="580"/>
      <c r="T45" s="93"/>
      <c r="U45" s="93"/>
      <c r="V45" s="93" t="s">
        <v>217</v>
      </c>
      <c r="W45" s="94">
        <v>0</v>
      </c>
      <c r="X45" s="94">
        <v>0</v>
      </c>
      <c r="Y45" s="93">
        <f>IF(Y42=2,($Q$48-500000)*0.2,IF(Y42=1,100000,0))</f>
        <v>10398</v>
      </c>
      <c r="Z45" s="196">
        <f>IF(Z42&gt;0,($Q$48-1000000)*0.3,0)</f>
        <v>0</v>
      </c>
      <c r="AA45" s="196"/>
    </row>
    <row r="46" spans="1:27" ht="15.75" customHeight="1" thickBot="1">
      <c r="A46" s="596"/>
      <c r="B46" s="64">
        <v>13</v>
      </c>
      <c r="C46" s="550" t="s">
        <v>189</v>
      </c>
      <c r="D46" s="550"/>
      <c r="E46" s="550"/>
      <c r="F46" s="550"/>
      <c r="G46" s="550"/>
      <c r="H46" s="550"/>
      <c r="I46" s="550"/>
      <c r="J46" s="550"/>
      <c r="K46" s="550"/>
      <c r="L46" s="550"/>
      <c r="M46" s="550"/>
      <c r="N46" s="550"/>
      <c r="O46" s="550"/>
      <c r="P46" s="62" t="s">
        <v>114</v>
      </c>
      <c r="Q46" s="75">
        <f>Q35+Q45</f>
        <v>108892</v>
      </c>
      <c r="R46" s="580"/>
      <c r="T46" s="93"/>
      <c r="U46" s="93"/>
      <c r="V46" s="93"/>
      <c r="W46" s="93"/>
      <c r="X46" s="93"/>
      <c r="Y46" s="93"/>
      <c r="Z46" s="196"/>
      <c r="AA46" s="196"/>
    </row>
    <row r="47" spans="1:27" ht="22.5">
      <c r="A47" s="596"/>
      <c r="B47" s="98">
        <v>14</v>
      </c>
      <c r="C47" s="551" t="s">
        <v>190</v>
      </c>
      <c r="D47" s="551"/>
      <c r="E47" s="551"/>
      <c r="F47" s="551"/>
      <c r="G47" s="551"/>
      <c r="H47" s="551"/>
      <c r="I47" s="551"/>
      <c r="J47" s="551"/>
      <c r="K47" s="551"/>
      <c r="L47" s="551"/>
      <c r="M47" s="551"/>
      <c r="N47" s="551"/>
      <c r="O47" s="551"/>
      <c r="P47" s="58" t="s">
        <v>114</v>
      </c>
      <c r="Q47" s="76">
        <f>Q20-Q46</f>
        <v>551993</v>
      </c>
      <c r="R47" s="580"/>
      <c r="T47" s="93"/>
      <c r="U47" s="93"/>
      <c r="V47" s="93"/>
      <c r="W47" s="93"/>
      <c r="X47" s="93"/>
      <c r="Y47" s="93"/>
      <c r="Z47" s="196"/>
      <c r="AA47" s="196"/>
    </row>
    <row r="48" spans="1:27" ht="15.75" customHeight="1" thickBot="1">
      <c r="A48" s="596"/>
      <c r="B48" s="100">
        <v>15</v>
      </c>
      <c r="C48" s="541" t="s">
        <v>191</v>
      </c>
      <c r="D48" s="541"/>
      <c r="E48" s="541"/>
      <c r="F48" s="541"/>
      <c r="G48" s="541"/>
      <c r="H48" s="541"/>
      <c r="I48" s="541"/>
      <c r="J48" s="541"/>
      <c r="K48" s="541"/>
      <c r="L48" s="541"/>
      <c r="M48" s="541"/>
      <c r="N48" s="541"/>
      <c r="O48" s="541"/>
      <c r="P48" s="59" t="s">
        <v>114</v>
      </c>
      <c r="Q48" s="77">
        <f>ROUND(Q47,-1)</f>
        <v>551990</v>
      </c>
      <c r="R48" s="580"/>
      <c r="T48" s="93" t="str">
        <f>'Old Regime Calc. Report'!AF48</f>
        <v>A</v>
      </c>
      <c r="U48" s="93">
        <f>'Basic Deta'!F10</f>
        <v>0</v>
      </c>
      <c r="V48" s="93" t="str">
        <f>CONCATENATE(T48,U48)</f>
        <v>A0</v>
      </c>
      <c r="W48" s="94"/>
      <c r="X48" s="94"/>
      <c r="Y48" s="94"/>
      <c r="Z48" s="196"/>
      <c r="AA48" s="196"/>
    </row>
    <row r="49" spans="1:27" ht="14.25" customHeight="1">
      <c r="A49" s="596"/>
      <c r="B49" s="542">
        <v>16</v>
      </c>
      <c r="C49" s="552" t="s">
        <v>192</v>
      </c>
      <c r="D49" s="552"/>
      <c r="E49" s="552"/>
      <c r="F49" s="552"/>
      <c r="G49" s="552"/>
      <c r="H49" s="552"/>
      <c r="I49" s="552"/>
      <c r="J49" s="552"/>
      <c r="K49" s="552"/>
      <c r="L49" s="552"/>
      <c r="M49" s="552"/>
      <c r="N49" s="552"/>
      <c r="O49" s="552"/>
      <c r="P49" s="552"/>
      <c r="Q49" s="553"/>
      <c r="R49" s="580"/>
      <c r="T49" s="93"/>
      <c r="U49" s="93"/>
      <c r="V49" s="93"/>
      <c r="W49" s="93"/>
      <c r="X49" s="93"/>
      <c r="Y49" s="93"/>
      <c r="Z49" s="196"/>
      <c r="AA49" s="196"/>
    </row>
    <row r="50" spans="1:27" ht="14.25" customHeight="1">
      <c r="A50" s="596"/>
      <c r="B50" s="543"/>
      <c r="C50" s="554" t="s">
        <v>252</v>
      </c>
      <c r="D50" s="555"/>
      <c r="E50" s="555"/>
      <c r="F50" s="555"/>
      <c r="G50" s="555"/>
      <c r="H50" s="556"/>
      <c r="I50" s="554" t="s">
        <v>193</v>
      </c>
      <c r="J50" s="555"/>
      <c r="K50" s="557" t="s">
        <v>194</v>
      </c>
      <c r="L50" s="558"/>
      <c r="M50" s="554" t="s">
        <v>251</v>
      </c>
      <c r="N50" s="555"/>
      <c r="O50" s="556"/>
      <c r="P50" s="103"/>
      <c r="Q50" s="68"/>
      <c r="R50" s="580"/>
      <c r="T50" s="93"/>
      <c r="U50" s="93"/>
      <c r="V50" s="93"/>
      <c r="W50" s="93"/>
      <c r="X50" s="93"/>
      <c r="Y50" s="93"/>
      <c r="Z50" s="196"/>
      <c r="AA50" s="196"/>
    </row>
    <row r="51" spans="1:27" ht="12" customHeight="1">
      <c r="A51" s="596"/>
      <c r="B51" s="543"/>
      <c r="C51" s="544" t="str">
        <f t="shared" ref="C51" si="0">IF($N$2="old tax regime","2,50,000 तक","3,00,000 तक")</f>
        <v>2,50,000 तक</v>
      </c>
      <c r="D51" s="545"/>
      <c r="E51" s="545"/>
      <c r="F51" s="545"/>
      <c r="G51" s="545"/>
      <c r="H51" s="546"/>
      <c r="I51" s="544" t="str">
        <f t="shared" ref="I51" si="1">IF($N$2="old tax regime","Nil","Nil")</f>
        <v>Nil</v>
      </c>
      <c r="J51" s="546"/>
      <c r="K51" s="544" t="str">
        <f t="shared" ref="K51" si="2">IF($N$2="old tax regime","Nil","Nil")</f>
        <v>Nil</v>
      </c>
      <c r="L51" s="546"/>
      <c r="M51" s="544" t="str">
        <f>IF($N$2="old tax regime","Nil","Nil")</f>
        <v>Nil</v>
      </c>
      <c r="N51" s="545"/>
      <c r="O51" s="546"/>
      <c r="P51" s="53" t="s">
        <v>114</v>
      </c>
      <c r="Q51" s="70">
        <v>0</v>
      </c>
      <c r="R51" s="580"/>
      <c r="T51" s="93"/>
      <c r="U51" s="93"/>
      <c r="V51" s="93"/>
      <c r="W51" s="93"/>
      <c r="X51" s="93"/>
      <c r="Y51" s="93"/>
      <c r="Z51" s="196"/>
      <c r="AA51" s="196"/>
    </row>
    <row r="52" spans="1:27" ht="12" customHeight="1">
      <c r="A52" s="596"/>
      <c r="B52" s="543"/>
      <c r="C52" s="544" t="str">
        <f>IF($N$2="old tax regime","2,50,001 से 3,00,000 तक","3,00,001 से 6,00,000 तक")</f>
        <v>2,50,001 से 3,00,000 तक</v>
      </c>
      <c r="D52" s="545"/>
      <c r="E52" s="545"/>
      <c r="F52" s="545"/>
      <c r="G52" s="545"/>
      <c r="H52" s="546"/>
      <c r="I52" s="547" t="str">
        <f t="shared" ref="I52" si="3">IF($N$2="old tax regime","5%","5% (With Tax Rebate Under Sec.87A)")</f>
        <v>5%</v>
      </c>
      <c r="J52" s="548"/>
      <c r="K52" s="547" t="str">
        <f>IF($N$2="old tax regime","Nil","5% (With Tax Rebate Under Sec.87A)")</f>
        <v>Nil</v>
      </c>
      <c r="L52" s="548"/>
      <c r="M52" s="547" t="str">
        <f>IF($N$2="old tax regime","Nil","5% (With Tax Rebate Under Sec.87A)")</f>
        <v>Nil</v>
      </c>
      <c r="N52" s="549"/>
      <c r="O52" s="548"/>
      <c r="P52" s="53" t="s">
        <v>114</v>
      </c>
      <c r="Q52" s="71">
        <f>IF(T48="a",W43,IF(T48="B",W44,W45))</f>
        <v>2500</v>
      </c>
      <c r="R52" s="580"/>
      <c r="T52" s="93"/>
      <c r="U52" s="93"/>
      <c r="V52" s="93"/>
      <c r="W52" s="93"/>
      <c r="X52" s="93"/>
      <c r="Y52" s="93"/>
      <c r="Z52" s="196"/>
      <c r="AA52" s="196"/>
    </row>
    <row r="53" spans="1:27" ht="12" customHeight="1">
      <c r="A53" s="596"/>
      <c r="B53" s="543"/>
      <c r="C53" s="544" t="str">
        <f>IF($N$2="old tax regime","3,00,001 से 5,00,000 तक","6,00,001 से 9,00,000 तक")</f>
        <v>3,00,001 से 5,00,000 तक</v>
      </c>
      <c r="D53" s="545"/>
      <c r="E53" s="545"/>
      <c r="F53" s="545"/>
      <c r="G53" s="545"/>
      <c r="H53" s="546"/>
      <c r="I53" s="547" t="str">
        <f>IF($N$2="old tax regime","5%","10% (With Tax Rebate Under Sec.87A Up to Rs. 7 Lakh.)")</f>
        <v>5%</v>
      </c>
      <c r="J53" s="548"/>
      <c r="K53" s="547" t="str">
        <f>IF($N$2="old tax regime","5%","10% (With Tax Rebate Under Sec.87A Up to Rs. 7 Lakh.)")</f>
        <v>5%</v>
      </c>
      <c r="L53" s="548"/>
      <c r="M53" s="547" t="str">
        <f>IF($N$2="old tax regime","Nil","10% (With Tax Rebate Under Sec.87A Up to Rs. 7 Lakh.)")</f>
        <v>Nil</v>
      </c>
      <c r="N53" s="549"/>
      <c r="O53" s="548"/>
      <c r="P53" s="53" t="s">
        <v>114</v>
      </c>
      <c r="Q53" s="71">
        <f>IF(T48="a",X43,IF(T48="B",X44,X45))</f>
        <v>10000</v>
      </c>
      <c r="R53" s="580"/>
      <c r="T53" s="93"/>
      <c r="U53" s="93"/>
    </row>
    <row r="54" spans="1:27" ht="12" customHeight="1">
      <c r="A54" s="596"/>
      <c r="B54" s="543"/>
      <c r="C54" s="544" t="str">
        <f>IF($N$2="old tax regime","5,00,001 से 10,00,000 तक","9,00,001 से 12,00,000 तक")</f>
        <v>5,00,001 से 10,00,000 तक</v>
      </c>
      <c r="D54" s="545"/>
      <c r="E54" s="545"/>
      <c r="F54" s="545"/>
      <c r="G54" s="545"/>
      <c r="H54" s="546"/>
      <c r="I54" s="544" t="str">
        <f t="shared" ref="I54" si="4">IF($N$2="old tax regime","20%","15%")</f>
        <v>20%</v>
      </c>
      <c r="J54" s="546"/>
      <c r="K54" s="544" t="str">
        <f>IF($N$2="old tax regime","20%","15%")</f>
        <v>20%</v>
      </c>
      <c r="L54" s="546"/>
      <c r="M54" s="544" t="str">
        <f>IF($N$2="old tax regime","20%","15%")</f>
        <v>20%</v>
      </c>
      <c r="N54" s="545"/>
      <c r="O54" s="546"/>
      <c r="P54" s="53" t="s">
        <v>114</v>
      </c>
      <c r="Q54" s="71">
        <f>IF(T48="a",Y43,IF(T48="B",Y44,Y45))</f>
        <v>10398</v>
      </c>
      <c r="R54" s="580"/>
      <c r="T54" s="93"/>
      <c r="U54" s="93"/>
    </row>
    <row r="55" spans="1:27" ht="12" customHeight="1">
      <c r="A55" s="596"/>
      <c r="B55" s="543"/>
      <c r="C55" s="544" t="str">
        <f>IF($N$2="old tax regime","10,00,001 अथवा इससे ऊपर","12,00,001 से 15,00,000 तक")</f>
        <v>10,00,001 अथवा इससे ऊपर</v>
      </c>
      <c r="D55" s="545"/>
      <c r="E55" s="545"/>
      <c r="F55" s="545"/>
      <c r="G55" s="545"/>
      <c r="H55" s="546"/>
      <c r="I55" s="544" t="str">
        <f>IF($N$2="old tax regime","30%","20%")</f>
        <v>30%</v>
      </c>
      <c r="J55" s="546"/>
      <c r="K55" s="544" t="str">
        <f>IF($N$2="old tax regime","30%","20%")</f>
        <v>30%</v>
      </c>
      <c r="L55" s="546"/>
      <c r="M55" s="544" t="str">
        <f>IF($N$2="old tax regime","30%","20%")</f>
        <v>30%</v>
      </c>
      <c r="N55" s="545"/>
      <c r="O55" s="546"/>
      <c r="P55" s="53" t="s">
        <v>114</v>
      </c>
      <c r="Q55" s="70">
        <f>IF(T48="a",Z43,IF(T48="B",Z44,Z45))</f>
        <v>0</v>
      </c>
      <c r="R55" s="580"/>
      <c r="T55" s="93"/>
      <c r="U55" s="93"/>
    </row>
    <row r="56" spans="1:27" ht="12" customHeight="1">
      <c r="A56" s="596"/>
      <c r="B56" s="543"/>
      <c r="C56" s="544" t="str">
        <f t="shared" ref="C56" si="5">IF($N$2="old tax regime","----","15,00,001 अथवा इससे ऊपर")</f>
        <v>----</v>
      </c>
      <c r="D56" s="545"/>
      <c r="E56" s="545"/>
      <c r="F56" s="545"/>
      <c r="G56" s="545"/>
      <c r="H56" s="546"/>
      <c r="I56" s="544" t="str">
        <f t="shared" ref="I56" si="6">IF($N$2="old tax regime","----","30%")</f>
        <v>----</v>
      </c>
      <c r="J56" s="546"/>
      <c r="K56" s="544" t="str">
        <f>IF($N$2="old tax regime","----","30%")</f>
        <v>----</v>
      </c>
      <c r="L56" s="546"/>
      <c r="M56" s="544" t="str">
        <f>IF($N$2="old tax regime","----","30%")</f>
        <v>----</v>
      </c>
      <c r="N56" s="545"/>
      <c r="O56" s="546"/>
      <c r="P56" s="53" t="s">
        <v>114</v>
      </c>
      <c r="Q56" s="70">
        <v>0</v>
      </c>
      <c r="R56" s="580"/>
      <c r="T56" s="93"/>
      <c r="U56" s="93"/>
    </row>
    <row r="57" spans="1:27" ht="14.25" customHeight="1">
      <c r="A57" s="596"/>
      <c r="B57" s="543"/>
      <c r="C57" s="494" t="s">
        <v>195</v>
      </c>
      <c r="D57" s="494"/>
      <c r="E57" s="494"/>
      <c r="F57" s="494"/>
      <c r="G57" s="494"/>
      <c r="H57" s="494"/>
      <c r="I57" s="494"/>
      <c r="J57" s="494"/>
      <c r="K57" s="494"/>
      <c r="L57" s="494"/>
      <c r="M57" s="494"/>
      <c r="N57" s="494"/>
      <c r="O57" s="494"/>
      <c r="P57" s="53" t="s">
        <v>114</v>
      </c>
      <c r="Q57" s="72">
        <f>SUM(Q51:Q56)</f>
        <v>22898</v>
      </c>
      <c r="R57" s="580"/>
      <c r="W57" s="108"/>
      <c r="X57" s="108"/>
    </row>
    <row r="58" spans="1:27" ht="14.25" customHeight="1">
      <c r="A58" s="596"/>
      <c r="B58" s="543"/>
      <c r="C58" s="492" t="s">
        <v>196</v>
      </c>
      <c r="D58" s="492"/>
      <c r="E58" s="492"/>
      <c r="F58" s="492"/>
      <c r="G58" s="492"/>
      <c r="H58" s="492"/>
      <c r="I58" s="492"/>
      <c r="J58" s="492"/>
      <c r="K58" s="492"/>
      <c r="L58" s="492"/>
      <c r="M58" s="492"/>
      <c r="N58" s="492"/>
      <c r="O58" s="492"/>
      <c r="P58" s="53" t="s">
        <v>114</v>
      </c>
      <c r="Q58" s="71">
        <f>IF(Q57&lt;=12500,Q57,0)</f>
        <v>0</v>
      </c>
      <c r="R58" s="580"/>
    </row>
    <row r="59" spans="1:27" ht="14.25" customHeight="1">
      <c r="A59" s="596"/>
      <c r="B59" s="543"/>
      <c r="C59" s="494" t="s">
        <v>197</v>
      </c>
      <c r="D59" s="494"/>
      <c r="E59" s="494"/>
      <c r="F59" s="494"/>
      <c r="G59" s="494"/>
      <c r="H59" s="494"/>
      <c r="I59" s="494"/>
      <c r="J59" s="494"/>
      <c r="K59" s="494"/>
      <c r="L59" s="494"/>
      <c r="M59" s="494"/>
      <c r="N59" s="494"/>
      <c r="O59" s="494"/>
      <c r="P59" s="53" t="s">
        <v>114</v>
      </c>
      <c r="Q59" s="72">
        <f>Q57-Q58</f>
        <v>22898</v>
      </c>
      <c r="R59" s="580"/>
    </row>
    <row r="60" spans="1:27" ht="14.25" customHeight="1">
      <c r="A60" s="596"/>
      <c r="B60" s="543"/>
      <c r="C60" s="535" t="s">
        <v>198</v>
      </c>
      <c r="D60" s="535"/>
      <c r="E60" s="535"/>
      <c r="F60" s="535"/>
      <c r="G60" s="535"/>
      <c r="H60" s="535"/>
      <c r="I60" s="535"/>
      <c r="J60" s="535"/>
      <c r="K60" s="535"/>
      <c r="L60" s="535"/>
      <c r="M60" s="535"/>
      <c r="N60" s="535"/>
      <c r="O60" s="535"/>
      <c r="P60" s="53" t="s">
        <v>114</v>
      </c>
      <c r="Q60" s="71">
        <f>ROUND(Q59*0.04,0)</f>
        <v>916</v>
      </c>
      <c r="R60" s="580"/>
    </row>
    <row r="61" spans="1:27" ht="12.75" customHeight="1">
      <c r="A61" s="596"/>
      <c r="B61" s="543"/>
      <c r="C61" s="536" t="s">
        <v>199</v>
      </c>
      <c r="D61" s="537"/>
      <c r="E61" s="537"/>
      <c r="F61" s="537"/>
      <c r="G61" s="537"/>
      <c r="H61" s="537"/>
      <c r="I61" s="537"/>
      <c r="J61" s="537"/>
      <c r="K61" s="537"/>
      <c r="L61" s="537"/>
      <c r="M61" s="537"/>
      <c r="N61" s="537"/>
      <c r="O61" s="538"/>
      <c r="P61" s="53" t="s">
        <v>114</v>
      </c>
      <c r="Q61" s="72">
        <f>Q59+Q60</f>
        <v>23814</v>
      </c>
      <c r="R61" s="580"/>
      <c r="W61" s="108"/>
      <c r="X61" s="108"/>
    </row>
    <row r="62" spans="1:27" ht="14.25" customHeight="1">
      <c r="A62" s="596"/>
      <c r="B62" s="99">
        <v>17</v>
      </c>
      <c r="C62" s="539" t="s">
        <v>200</v>
      </c>
      <c r="D62" s="539"/>
      <c r="E62" s="539"/>
      <c r="F62" s="539"/>
      <c r="G62" s="539"/>
      <c r="H62" s="539"/>
      <c r="I62" s="539"/>
      <c r="J62" s="539"/>
      <c r="K62" s="539"/>
      <c r="L62" s="539"/>
      <c r="M62" s="539"/>
      <c r="N62" s="539"/>
      <c r="O62" s="539"/>
      <c r="P62" s="53" t="s">
        <v>114</v>
      </c>
      <c r="Q62" s="71">
        <f>'Exemp.(HRA+Other) &amp; Other incom'!Q26</f>
        <v>0</v>
      </c>
      <c r="R62" s="580"/>
    </row>
    <row r="63" spans="1:27" ht="14.25" customHeight="1">
      <c r="A63" s="596"/>
      <c r="B63" s="523">
        <v>18</v>
      </c>
      <c r="C63" s="540" t="s">
        <v>201</v>
      </c>
      <c r="D63" s="540"/>
      <c r="E63" s="540"/>
      <c r="F63" s="540"/>
      <c r="G63" s="540"/>
      <c r="H63" s="540"/>
      <c r="I63" s="540"/>
      <c r="J63" s="540"/>
      <c r="K63" s="540"/>
      <c r="L63" s="540"/>
      <c r="M63" s="540"/>
      <c r="N63" s="540"/>
      <c r="O63" s="540"/>
      <c r="P63" s="53" t="s">
        <v>114</v>
      </c>
      <c r="Q63" s="72">
        <f>Q61-Q62</f>
        <v>23814</v>
      </c>
      <c r="R63" s="580"/>
    </row>
    <row r="64" spans="1:27" ht="14.25" customHeight="1" thickBot="1">
      <c r="A64" s="596"/>
      <c r="B64" s="524"/>
      <c r="C64" s="541" t="s">
        <v>202</v>
      </c>
      <c r="D64" s="541"/>
      <c r="E64" s="541"/>
      <c r="F64" s="541"/>
      <c r="G64" s="541"/>
      <c r="H64" s="541"/>
      <c r="I64" s="541"/>
      <c r="J64" s="541"/>
      <c r="K64" s="541"/>
      <c r="L64" s="541"/>
      <c r="M64" s="541"/>
      <c r="N64" s="541"/>
      <c r="O64" s="541"/>
      <c r="P64" s="57" t="s">
        <v>114</v>
      </c>
      <c r="Q64" s="69">
        <f>ROUND(Q63,-1)</f>
        <v>23810</v>
      </c>
      <c r="R64" s="580"/>
    </row>
    <row r="65" spans="1:27" ht="44.25" customHeight="1">
      <c r="A65" s="596"/>
      <c r="B65" s="522">
        <v>19</v>
      </c>
      <c r="C65" s="525" t="s">
        <v>146</v>
      </c>
      <c r="D65" s="528" t="s">
        <v>203</v>
      </c>
      <c r="E65" s="528"/>
      <c r="F65" s="528" t="s">
        <v>204</v>
      </c>
      <c r="G65" s="528"/>
      <c r="H65" s="528"/>
      <c r="I65" s="101" t="s">
        <v>205</v>
      </c>
      <c r="J65" s="101" t="s">
        <v>206</v>
      </c>
      <c r="K65" s="101" t="s">
        <v>207</v>
      </c>
      <c r="L65" s="101" t="s">
        <v>208</v>
      </c>
      <c r="M65" s="529" t="s">
        <v>209</v>
      </c>
      <c r="N65" s="529"/>
      <c r="O65" s="101" t="s">
        <v>210</v>
      </c>
      <c r="P65" s="530" t="s">
        <v>211</v>
      </c>
      <c r="Q65" s="531"/>
      <c r="R65" s="580"/>
    </row>
    <row r="66" spans="1:27" s="10" customFormat="1" ht="13.5" customHeight="1">
      <c r="A66" s="596"/>
      <c r="B66" s="523"/>
      <c r="C66" s="526"/>
      <c r="D66" s="532">
        <f>SUM('GA-55'!AA9:AA11)</f>
        <v>0</v>
      </c>
      <c r="E66" s="532"/>
      <c r="F66" s="532">
        <f>SUM('GA-55'!AA12:AA14)</f>
        <v>0</v>
      </c>
      <c r="G66" s="532"/>
      <c r="H66" s="532"/>
      <c r="I66" s="102">
        <f>SUM('GA-55'!AA15:AA17)</f>
        <v>0</v>
      </c>
      <c r="J66" s="102">
        <f>'GA-55'!AA18</f>
        <v>0</v>
      </c>
      <c r="K66" s="102">
        <f>'GA-55'!AA19</f>
        <v>0</v>
      </c>
      <c r="L66" s="102">
        <f>'GA-55'!AA20</f>
        <v>0</v>
      </c>
      <c r="M66" s="532">
        <f>SUM('GA-55'!AA21:AA30)</f>
        <v>0</v>
      </c>
      <c r="N66" s="533"/>
      <c r="O66" s="102">
        <f>'Basic Deta'!N19</f>
        <v>0</v>
      </c>
      <c r="P66" s="89" t="s">
        <v>114</v>
      </c>
      <c r="Q66" s="90">
        <f>SUM(D66:O66)</f>
        <v>0</v>
      </c>
      <c r="R66" s="580"/>
      <c r="T66" s="105"/>
      <c r="U66" s="105"/>
      <c r="W66" s="106"/>
      <c r="X66" s="106"/>
      <c r="Y66" s="106"/>
      <c r="Z66" s="106"/>
      <c r="AA66" s="106"/>
    </row>
    <row r="67" spans="1:27" ht="15.75" thickBot="1">
      <c r="A67" s="596"/>
      <c r="B67" s="524"/>
      <c r="C67" s="527"/>
      <c r="D67" s="534" t="s">
        <v>113</v>
      </c>
      <c r="E67" s="534"/>
      <c r="F67" s="534"/>
      <c r="G67" s="534"/>
      <c r="H67" s="534"/>
      <c r="I67" s="534"/>
      <c r="J67" s="534"/>
      <c r="K67" s="534"/>
      <c r="L67" s="519" t="str">
        <f>IF(Q66&gt;Q64,"(Refundable)","(Payble)")</f>
        <v>(Payble)</v>
      </c>
      <c r="M67" s="519"/>
      <c r="N67" s="519"/>
      <c r="O67" s="519"/>
      <c r="P67" s="57" t="s">
        <v>114</v>
      </c>
      <c r="Q67" s="69">
        <f>Q66-Q64</f>
        <v>-23810</v>
      </c>
      <c r="R67" s="580"/>
    </row>
    <row r="68" spans="1:27" ht="9.75" customHeight="1">
      <c r="A68" s="596"/>
      <c r="B68" s="520" t="str">
        <f>'GA-55'!B32</f>
        <v>Siganture of Employee()</v>
      </c>
      <c r="C68" s="520"/>
      <c r="D68" s="520"/>
      <c r="E68" s="520"/>
      <c r="F68" s="520"/>
      <c r="G68" s="520"/>
      <c r="H68" s="520"/>
      <c r="I68" s="520"/>
      <c r="J68" s="520"/>
      <c r="K68" s="520" t="str">
        <f>'GA-55'!P32</f>
        <v>Signature of DDO ()</v>
      </c>
      <c r="L68" s="520"/>
      <c r="M68" s="520"/>
      <c r="N68" s="520"/>
      <c r="O68" s="520"/>
      <c r="P68" s="520"/>
      <c r="Q68" s="520"/>
      <c r="R68" s="580"/>
    </row>
    <row r="69" spans="1:27" ht="15.75" customHeight="1">
      <c r="A69" s="596"/>
      <c r="B69" s="521"/>
      <c r="C69" s="521"/>
      <c r="D69" s="521"/>
      <c r="E69" s="521"/>
      <c r="F69" s="521"/>
      <c r="G69" s="521"/>
      <c r="H69" s="521"/>
      <c r="I69" s="521"/>
      <c r="J69" s="521"/>
      <c r="K69" s="521"/>
      <c r="L69" s="521"/>
      <c r="M69" s="521"/>
      <c r="N69" s="521"/>
      <c r="O69" s="521"/>
      <c r="P69" s="521"/>
      <c r="Q69" s="521"/>
      <c r="R69" s="580"/>
    </row>
    <row r="70" spans="1:27" ht="15" customHeight="1"/>
  </sheetData>
  <sheetProtection password="E8FA" sheet="1" objects="1" scenarios="1" formatCells="0" formatColumns="0" selectLockedCells="1"/>
  <mergeCells count="136">
    <mergeCell ref="A1:A69"/>
    <mergeCell ref="B1:Q1"/>
    <mergeCell ref="R1:R69"/>
    <mergeCell ref="B2:M2"/>
    <mergeCell ref="N2:Q2"/>
    <mergeCell ref="C3:D3"/>
    <mergeCell ref="E3:J3"/>
    <mergeCell ref="L3:N3"/>
    <mergeCell ref="P3:Q3"/>
    <mergeCell ref="C4:O4"/>
    <mergeCell ref="C5:O5"/>
    <mergeCell ref="C6:O6"/>
    <mergeCell ref="B7:B9"/>
    <mergeCell ref="C7:L7"/>
    <mergeCell ref="M7:O7"/>
    <mergeCell ref="P7:Q8"/>
    <mergeCell ref="C8:L8"/>
    <mergeCell ref="M8:O8"/>
    <mergeCell ref="C9:L9"/>
    <mergeCell ref="M9:O9"/>
    <mergeCell ref="C10:O10"/>
    <mergeCell ref="B11:B13"/>
    <mergeCell ref="C11:J11"/>
    <mergeCell ref="K11:L11"/>
    <mergeCell ref="M11:O11"/>
    <mergeCell ref="P11:Q13"/>
    <mergeCell ref="C12:D13"/>
    <mergeCell ref="E12:G12"/>
    <mergeCell ref="H12:J12"/>
    <mergeCell ref="K12:L12"/>
    <mergeCell ref="C15:O15"/>
    <mergeCell ref="B16:B18"/>
    <mergeCell ref="C16:C18"/>
    <mergeCell ref="E16:O16"/>
    <mergeCell ref="E17:O17"/>
    <mergeCell ref="E18:O18"/>
    <mergeCell ref="M12:O12"/>
    <mergeCell ref="E13:G13"/>
    <mergeCell ref="H13:J13"/>
    <mergeCell ref="K13:L13"/>
    <mergeCell ref="M13:O13"/>
    <mergeCell ref="C14:O14"/>
    <mergeCell ref="D25:G25"/>
    <mergeCell ref="K25:M25"/>
    <mergeCell ref="D26:G26"/>
    <mergeCell ref="K26:M26"/>
    <mergeCell ref="D27:G27"/>
    <mergeCell ref="K27:M27"/>
    <mergeCell ref="C19:O19"/>
    <mergeCell ref="C20:O20"/>
    <mergeCell ref="B21:B35"/>
    <mergeCell ref="C21:Q21"/>
    <mergeCell ref="C22:Q22"/>
    <mergeCell ref="D23:G23"/>
    <mergeCell ref="K23:M23"/>
    <mergeCell ref="P23:Q32"/>
    <mergeCell ref="D24:G24"/>
    <mergeCell ref="K24:M24"/>
    <mergeCell ref="D31:G31"/>
    <mergeCell ref="K31:M31"/>
    <mergeCell ref="C32:M32"/>
    <mergeCell ref="C33:O33"/>
    <mergeCell ref="C34:O34"/>
    <mergeCell ref="C35:O35"/>
    <mergeCell ref="D28:G28"/>
    <mergeCell ref="K28:M28"/>
    <mergeCell ref="D29:G29"/>
    <mergeCell ref="K29:M29"/>
    <mergeCell ref="D30:G30"/>
    <mergeCell ref="K30:M30"/>
    <mergeCell ref="B36:B45"/>
    <mergeCell ref="C36:Q36"/>
    <mergeCell ref="C37:O37"/>
    <mergeCell ref="C38:O38"/>
    <mergeCell ref="C39:O39"/>
    <mergeCell ref="C40:O40"/>
    <mergeCell ref="C41:O41"/>
    <mergeCell ref="C42:O42"/>
    <mergeCell ref="C43:O43"/>
    <mergeCell ref="C44:O44"/>
    <mergeCell ref="C45:O45"/>
    <mergeCell ref="C46:O46"/>
    <mergeCell ref="C47:O47"/>
    <mergeCell ref="C48:O48"/>
    <mergeCell ref="C49:Q49"/>
    <mergeCell ref="C53:H53"/>
    <mergeCell ref="I53:J53"/>
    <mergeCell ref="K53:L53"/>
    <mergeCell ref="M53:O53"/>
    <mergeCell ref="C54:H54"/>
    <mergeCell ref="I54:J54"/>
    <mergeCell ref="K54:L54"/>
    <mergeCell ref="M54:O54"/>
    <mergeCell ref="C50:H50"/>
    <mergeCell ref="I50:J50"/>
    <mergeCell ref="K50:L50"/>
    <mergeCell ref="M50:O50"/>
    <mergeCell ref="C51:H51"/>
    <mergeCell ref="I51:J51"/>
    <mergeCell ref="K51:L51"/>
    <mergeCell ref="M51:O51"/>
    <mergeCell ref="C52:H52"/>
    <mergeCell ref="I52:J52"/>
    <mergeCell ref="K52:L52"/>
    <mergeCell ref="M52:O52"/>
    <mergeCell ref="C59:O59"/>
    <mergeCell ref="C60:O60"/>
    <mergeCell ref="C61:O61"/>
    <mergeCell ref="C62:O62"/>
    <mergeCell ref="B63:B64"/>
    <mergeCell ref="C63:O63"/>
    <mergeCell ref="C64:O64"/>
    <mergeCell ref="C57:O57"/>
    <mergeCell ref="C58:O58"/>
    <mergeCell ref="B49:B61"/>
    <mergeCell ref="C55:H55"/>
    <mergeCell ref="I55:J55"/>
    <mergeCell ref="K55:L55"/>
    <mergeCell ref="M55:O55"/>
    <mergeCell ref="C56:H56"/>
    <mergeCell ref="I56:J56"/>
    <mergeCell ref="K56:L56"/>
    <mergeCell ref="M56:O56"/>
    <mergeCell ref="L67:O67"/>
    <mergeCell ref="B68:J69"/>
    <mergeCell ref="K68:Q69"/>
    <mergeCell ref="B65:B67"/>
    <mergeCell ref="C65:C67"/>
    <mergeCell ref="D65:E65"/>
    <mergeCell ref="F65:H65"/>
    <mergeCell ref="M65:N65"/>
    <mergeCell ref="P65:Q65"/>
    <mergeCell ref="D66:E66"/>
    <mergeCell ref="F66:H66"/>
    <mergeCell ref="M66:N66"/>
    <mergeCell ref="D67:K67"/>
  </mergeCells>
  <conditionalFormatting sqref="L67:O67">
    <cfRule type="cellIs" dxfId="15" priority="4" operator="equal">
      <formula>"(Payble)"</formula>
    </cfRule>
    <cfRule type="cellIs" dxfId="14" priority="5" operator="equal">
      <formula>"(Refundable)"</formula>
    </cfRule>
  </conditionalFormatting>
  <conditionalFormatting sqref="Q67">
    <cfRule type="cellIs" dxfId="13" priority="2" operator="lessThan">
      <formula>0</formula>
    </cfRule>
    <cfRule type="cellIs" dxfId="12" priority="3" operator="greaterThan">
      <formula>0</formula>
    </cfRule>
  </conditionalFormatting>
  <conditionalFormatting sqref="P55:Q56">
    <cfRule type="expression" dxfId="11" priority="1">
      <formula>$C55="----"</formula>
    </cfRule>
  </conditionalFormatting>
  <dataValidations count="1">
    <dataValidation type="list" allowBlank="1" showInputMessage="1" showErrorMessage="1" sqref="N2:Q2">
      <formula1>"Old Tax Regime,New Tax Regime"</formula1>
    </dataValidation>
  </dataValidations>
  <pageMargins left="0.19" right="0.18" top="0.24" bottom="0.22" header="0.19" footer="0.2"/>
  <pageSetup paperSize="9" scale="82" orientation="portrait" r:id="rId1"/>
  <colBreaks count="1" manualBreakCount="1">
    <brk id="17"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3</vt:i4>
      </vt:variant>
    </vt:vector>
  </HeadingPairs>
  <TitlesOfParts>
    <vt:vector size="10" baseType="lpstr">
      <vt:lpstr>For Help</vt:lpstr>
      <vt:lpstr>Basic Deta</vt:lpstr>
      <vt:lpstr>Exemp.(HRA+Other) &amp; Other incom</vt:lpstr>
      <vt:lpstr>GA-55</vt:lpstr>
      <vt:lpstr>New Regime Calc. Report</vt:lpstr>
      <vt:lpstr>Old Regime Calc. Report</vt:lpstr>
      <vt:lpstr>OLD REGIME</vt:lpstr>
      <vt:lpstr>'Exemp.(HRA+Other) &amp; Other incom'!Print_Area</vt:lpstr>
      <vt:lpstr>'GA-55'!Print_Area</vt:lpstr>
      <vt:lpstr>'Old Regime Calc. Report'!Print_Area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DELL</cp:lastModifiedBy>
  <cp:lastPrinted>2023-12-10T05:33:46Z</cp:lastPrinted>
  <dcterms:created xsi:type="dcterms:W3CDTF">2022-11-02T01:51:38Z</dcterms:created>
  <dcterms:modified xsi:type="dcterms:W3CDTF">2023-12-10T05:57:53Z</dcterms:modified>
</cp:coreProperties>
</file>